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B23" i="36"/>
  <c r="B22" i="36"/>
  <c r="J22" i="36" s="1"/>
  <c r="B21" i="36"/>
  <c r="G21" i="36" s="1"/>
  <c r="B20" i="36"/>
  <c r="J20" i="36" s="1"/>
  <c r="B19" i="36"/>
  <c r="F19" i="36" s="1"/>
  <c r="B18" i="36"/>
  <c r="C18" i="36" s="1"/>
  <c r="B16" i="36"/>
  <c r="J16" i="36" s="1"/>
  <c r="B15" i="36"/>
  <c r="F15" i="36" s="1"/>
  <c r="L17" i="36"/>
  <c r="L22" i="36"/>
  <c r="G26" i="46"/>
  <c r="D22" i="46"/>
  <c r="C25" i="46"/>
  <c r="C30" i="46"/>
  <c r="I18" i="46"/>
  <c r="C28" i="46"/>
  <c r="E17" i="36"/>
  <c r="E22" i="46"/>
  <c r="F30" i="46"/>
  <c r="H18" i="46"/>
  <c r="C26" i="46"/>
  <c r="H30" i="46"/>
  <c r="D30" i="46"/>
  <c r="G22" i="46"/>
  <c r="I17" i="36"/>
  <c r="H17" i="36"/>
  <c r="I26" i="46"/>
  <c r="I27" i="46"/>
  <c r="C28" i="36"/>
  <c r="D24" i="46"/>
  <c r="F29" i="46"/>
  <c r="I22" i="36"/>
  <c r="I24" i="36"/>
  <c r="E28" i="36"/>
  <c r="G28" i="36"/>
  <c r="F20" i="36"/>
  <c r="I20" i="36"/>
  <c r="I20" i="46"/>
  <c r="I19" i="46"/>
  <c r="H21" i="46"/>
  <c r="D21" i="46"/>
  <c r="E20" i="36"/>
  <c r="E24" i="36"/>
  <c r="C24" i="36"/>
  <c r="F23" i="46"/>
  <c r="G15" i="46"/>
  <c r="F21" i="46"/>
  <c r="G25" i="46"/>
  <c r="I25" i="46"/>
  <c r="D25" i="46"/>
  <c r="I30" i="36"/>
  <c r="F16" i="36"/>
  <c r="D17" i="36"/>
  <c r="G17" i="36"/>
  <c r="F17" i="36"/>
  <c r="D24" i="36"/>
  <c r="E15" i="36"/>
  <c r="L25" i="36" l="1"/>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M14" i="3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<sst xmlns="http://schemas.openxmlformats.org/spreadsheetml/2006/main" count="1613" uniqueCount="471">
  <si>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</si>
  <si>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</si>
  <si>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</si>
  <si>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</si>
  <si>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</si>
  <si>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</si>
  <si>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</si>
  <si>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</si>
  <si>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</si>
  <si>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</si>
  <si>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</si>
  <si>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</si>
  <si>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</si>
  <si>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</si>
  <si>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</si>
  <si>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</si>
  <si>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</si>
  <si>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</si>
  <si>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</si>
  <si>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</si>
  <si>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</si>
  <si>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</si>
  <si>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</si>
  <si>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</si>
  <si>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</si>
  <si>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</si>
  <si>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</si>
  <si>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</si>
  <si>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</si>
  <si>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</si>
  <si>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</si>
  <si>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</si>
  <si>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</si>
  <si>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</si>
  <si>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</si>
  <si>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</si>
  <si>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</si>
  <si>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</si>
  <si>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</si>
  <si>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</si>
  <si>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</si>
  <si>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</si>
  <si>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</si>
  <si>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</si>
  <si>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</si>
  <si>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</si>
  <si>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</si>
  <si>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</si>
  <si>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</si>
  <si>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</si>
  <si>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</si>
  <si>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</si>
  <si>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</si>
  <si>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</si>
  <si>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</si>
  <si>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</si>
  <si>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</si>
  <si>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</si>
  <si>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</si>
  <si>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</si>
  <si>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</si>
  <si>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</si>
  <si>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</si>
  <si>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</si>
  <si>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</si>
  <si>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</si>
  <si>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</si>
  <si>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</si>
  <si>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</si>
  <si>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</si>
  <si>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</si>
  <si>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</si>
  <si>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</si>
  <si>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</si>
  <si>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</si>
  <si>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</si>
  <si>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</si>
  <si>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</si>
  <si>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</si>
  <si>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</si>
  <si>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</si>
  <si>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</si>
  <si>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</si>
  <si>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</si>
  <si>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</si>
  <si>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</si>
  <si>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</si>
  <si>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</si>
  <si>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</si>
  <si>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</si>
  <si>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</si>
  <si>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</si>
  <si>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</si>
  <si>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</si>
  <si>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</si>
  <si>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</si>
  <si>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</si>
  <si>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</si>
  <si>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</si>
  <si>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</si>
  <si>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</si>
  <si>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</si>
  <si>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</si>
  <si>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</si>
  <si>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</si>
  <si>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</si>
  <si>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</si>
  <si>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</si>
  <si>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</si>
  <si>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</si>
  <si>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</si>
  <si>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</si>
  <si>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</si>
  <si>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</si>
  <si>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</si>
  <si>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</si>
  <si>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</si>
  <si>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</si>
  <si>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</si>
  <si>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</si>
  <si>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</si>
  <si>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</si>
  <si>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</si>
  <si>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</si>
  <si>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</si>
  <si>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</si>
  <si>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</si>
  <si>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</si>
  <si>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</si>
  <si>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</si>
  <si>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</si>
  <si>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</si>
  <si>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</si>
  <si>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</si>
  <si>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</si>
  <si>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</si>
  <si>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</si>
  <si>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</si>
  <si>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</si>
  <si>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</si>
  <si>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</si>
  <si>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</si>
  <si>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</si>
  <si>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</si>
  <si>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</si>
  <si>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</si>
  <si>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</si>
  <si>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</si>
  <si>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</si>
  <si>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</si>
  <si>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</si>
  <si>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</si>
  <si>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</si>
  <si>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</si>
  <si>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</si>
  <si>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</si>
  <si>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</si>
  <si>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</si>
  <si>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</si>
  <si>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</si>
  <si>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</si>
  <si>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</si>
  <si>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</si>
  <si>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</si>
  <si>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</si>
  <si>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</si>
  <si>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</si>
  <si>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</si>
  <si>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</si>
  <si>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</si>
  <si>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</si>
  <si>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</si>
  <si>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</si>
  <si>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</si>
  <si>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</si>
  <si>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</si>
  <si>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</si>
  <si>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</si>
  <si>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</si>
  <si>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</si>
  <si>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</si>
  <si>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</si>
  <si>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</si>
  <si>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</si>
  <si>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</si>
  <si>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</si>
  <si>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</si>
  <si>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</si>
  <si>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</si>
  <si>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</si>
  <si>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</si>
  <si>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</si>
  <si>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</si>
  <si>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</si>
  <si>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</si>
  <si>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</si>
  <si>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</si>
  <si>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</si>
  <si>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</si>
  <si>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</si>
  <si>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</si>
  <si>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</si>
  <si>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</si>
  <si>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</si>
  <si>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</si>
  <si>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</si>
  <si>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</si>
  <si>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</si>
  <si>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</si>
  <si>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</si>
  <si>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</si>
  <si>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</si>
  <si>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</si>
  <si>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</si>
  <si>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</si>
  <si>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</si>
  <si>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</si>
  <si>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</si>
  <si>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</si>
  <si>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</si>
  <si>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</si>
  <si>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</si>
  <si>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</si>
  <si>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</si>
  <si>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</si>
  <si>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</si>
  <si>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</si>
  <si>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</si>
  <si>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</si>
  <si>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</si>
  <si>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</si>
  <si>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</si>
  <si>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</si>
  <si>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</si>
  <si>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</si>
  <si>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</si>
  <si>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</si>
  <si>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</si>
  <si>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</si>
  <si>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</si>
  <si>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</si>
  <si>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</si>
  <si>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</si>
  <si>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</si>
  <si>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</si>
  <si>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</si>
  <si>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</si>
  <si>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</si>
  <si>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</si>
  <si>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</si>
  <si>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</si>
  <si>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</si>
  <si>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</si>
  <si>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</si>
  <si>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</si>
  <si>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</si>
  <si>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</si>
  <si>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</si>
  <si>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</si>
  <si>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</si>
  <si>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</si>
  <si>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</si>
  <si>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</si>
  <si>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</si>
  <si>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</si>
  <si>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</si>
  <si>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</si>
  <si>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</si>
  <si>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</si>
  <si>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</si>
  <si>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</si>
  <si>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</si>
  <si>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</si>
  <si>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</si>
  <si>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</si>
  <si>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</si>
  <si>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</si>
  <si>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</si>
  <si>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</si>
  <si>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</si>
  <si>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</si>
  <si>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</si>
  <si>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</si>
  <si>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</si>
  <si>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</si>
  <si>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</si>
  <si>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</si>
  <si>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</si>
  <si>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</si>
  <si>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</si>
  <si>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</si>
  <si>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</si>
  <si>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</si>
  <si>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</si>
  <si>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</si>
  <si>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</si>
  <si>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</si>
  <si>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</si>
  <si>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</si>
  <si>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</si>
  <si>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</si>
  <si>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</si>
  <si>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</si>
  <si>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</si>
  <si>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</si>
  <si>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</si>
  <si>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</si>
  <si>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</si>
  <si>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</si>
  <si>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</si>
  <si>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</si>
  <si>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</si>
  <si>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</si>
  <si>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</si>
  <si>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</si>
  <si>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</si>
  <si>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</si>
  <si>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</si>
  <si>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</si>
  <si>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</si>
  <si>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</si>
  <si>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</si>
  <si>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</si>
  <si>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</si>
  <si>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</si>
  <si>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</si>
  <si>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</si>
  <si>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</si>
  <si>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</si>
  <si>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</si>
  <si>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</si>
  <si>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</si>
  <si>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</si>
  <si>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</si>
  <si>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</si>
  <si>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</si>
  <si>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</si>
  <si>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</si>
  <si>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</si>
  <si>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</si>
  <si>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</si>
  <si>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</si>
  <si>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</si>
  <si>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</si>
  <si>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</si>
  <si>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</si>
  <si>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</si>
  <si>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</si>
  <si>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</si>
  <si>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</si>
  <si>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</si>
  <si>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</si>
  <si>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</si>
  <si>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</si>
  <si>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</si>
  <si>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</si>
  <si>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</si>
  <si>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</si>
  <si>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</si>
  <si>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</si>
  <si>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</si>
  <si>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</si>
  <si>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</si>
  <si>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</si>
  <si>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</si>
  <si>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</si>
  <si>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</si>
  <si>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</si>
  <si>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</si>
  <si>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</si>
  <si>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</si>
  <si>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</si>
  <si>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</si>
  <si>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</si>
  <si>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</si>
  <si>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</si>
  <si>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</si>
  <si>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</si>
  <si>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</si>
  <si>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</si>
  <si>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</si>
  <si>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</si>
  <si>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</si>
  <si>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</si>
  <si>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</si>
  <si>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</si>
  <si>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</si>
  <si>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</si>
  <si>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</si>
  <si>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</si>
  <si>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</si>
  <si>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</si>
  <si>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</si>
  <si>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</si>
  <si>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</si>
  <si>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</si>
  <si>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</si>
  <si>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</si>
  <si>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</si>
  <si>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</si>
  <si>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</si>
  <si>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</si>
  <si>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</si>
  <si>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</si>
  <si>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</si>
  <si>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</si>
  <si>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</si>
  <si>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</si>
  <si>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</si>
  <si>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</si>
  <si>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</si>
  <si>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</si>
  <si>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</si>
  <si>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</si>
  <si>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</si>
  <si>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</si>
  <si>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</si>
  <si>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</si>
  <si>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</si>
  <si>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</si>
  <si>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</si>
  <si>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</si>
  <si>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</si>
  <si>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</si>
  <si>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</si>
  <si>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</si>
  <si>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</si>
  <si>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</si>
  <si>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</si>
  <si>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</si>
  <si>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</si>
  <si>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</si>
  <si>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</si>
  <si>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</si>
  <si>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</si>
  <si>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</si>
  <si>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</si>
  <si>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</si>
  <si>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</si>
  <si>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</si>
  <si>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</si>
  <si>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</si>
  <si>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</si>
  <si>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</si>
  <si>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</si>
  <si>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</si>
  <si>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</si>
  <si>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</si>
  <si>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</si>
  <si>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</si>
  <si>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</si>
  <si>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</si>
  <si>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</si>
  <si>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</si>
  <si>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</si>
  <si>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</si>
  <si>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</si>
  <si>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</si>
  <si>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</si>
  <si>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</si>
  <si>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</si>
  <si>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</si>
  <si>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</si>
  <si>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</si>
  <si>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</si>
  <si>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</si>
  <si>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</si>
  <si>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</si>
  <si>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409</t>
  </si>
  <si>
    <t>As of April 18,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</si>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</sst>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8" t="s">
        <v>426</v>
      </c>
      <c r="B1" s="449"/>
      <c r="C1" s="449"/>
      <c r="D1" s="449"/>
      <c r="E1" s="449"/>
      <c r="F1" s="449"/>
      <c r="G1" s="449"/>
      <c r="H1" s="449"/>
      <c r="I1" s="449"/>
      <c r="J1" s="449"/>
      <c r="K1" s="449"/>
      <c r="L1" s="449"/>
      <c r="M1" s="449"/>
      <c r="N1" s="449"/>
      <c r="O1" s="449"/>
      <c r="P1" s="450"/>
    </row>
    <row r="2" spans="1:16" ht="29.25" customHeight="1" x14ac:dyDescent="0.2">
      <c r="A2" s="442" t="s">
        <v>429</v>
      </c>
      <c r="B2" s="443"/>
      <c r="C2" s="443"/>
      <c r="D2" s="443"/>
      <c r="E2" s="443"/>
      <c r="F2" s="443"/>
      <c r="G2" s="443"/>
      <c r="H2" s="443"/>
      <c r="I2" s="443"/>
      <c r="J2" s="443"/>
      <c r="K2" s="443"/>
      <c r="L2" s="443"/>
      <c r="M2" s="443"/>
      <c r="N2" s="444"/>
    </row>
    <row r="3" spans="1:16" x14ac:dyDescent="0.2">
      <c r="A3" s="442"/>
      <c r="B3" s="443"/>
      <c r="C3" s="443"/>
      <c r="D3" s="443"/>
      <c r="E3" s="443"/>
      <c r="F3" s="443"/>
      <c r="G3" s="443"/>
      <c r="H3" s="443"/>
      <c r="I3" s="443"/>
      <c r="J3" s="443"/>
      <c r="K3" s="443"/>
      <c r="L3" s="443"/>
      <c r="M3" s="443"/>
      <c r="N3" s="444"/>
    </row>
    <row r="4" spans="1:16" x14ac:dyDescent="0.2">
      <c r="A4" s="442"/>
      <c r="B4" s="443"/>
      <c r="C4" s="443"/>
      <c r="D4" s="443"/>
      <c r="E4" s="443"/>
      <c r="F4" s="443"/>
      <c r="G4" s="443"/>
      <c r="H4" s="443"/>
      <c r="I4" s="443"/>
      <c r="J4" s="443"/>
      <c r="K4" s="443"/>
      <c r="L4" s="443"/>
      <c r="M4" s="443"/>
      <c r="N4" s="444"/>
    </row>
    <row r="5" spans="1:16" x14ac:dyDescent="0.2">
      <c r="A5" s="442"/>
      <c r="B5" s="443"/>
      <c r="C5" s="443"/>
      <c r="D5" s="443"/>
      <c r="E5" s="443"/>
      <c r="F5" s="443"/>
      <c r="G5" s="443"/>
      <c r="H5" s="443"/>
      <c r="I5" s="443"/>
      <c r="J5" s="443"/>
      <c r="K5" s="443"/>
      <c r="L5" s="443"/>
      <c r="M5" s="443"/>
      <c r="N5" s="444"/>
    </row>
    <row r="6" spans="1:16" x14ac:dyDescent="0.2">
      <c r="A6" s="442"/>
      <c r="B6" s="443"/>
      <c r="C6" s="443"/>
      <c r="D6" s="443"/>
      <c r="E6" s="443"/>
      <c r="F6" s="443"/>
      <c r="G6" s="443"/>
      <c r="H6" s="443"/>
      <c r="I6" s="443"/>
      <c r="J6" s="443"/>
      <c r="K6" s="443"/>
      <c r="L6" s="443"/>
      <c r="M6" s="443"/>
      <c r="N6" s="444"/>
    </row>
    <row r="7" spans="1:16" ht="18" customHeight="1" thickBot="1" x14ac:dyDescent="0.25">
      <c r="A7" s="445"/>
      <c r="B7" s="446"/>
      <c r="C7" s="446"/>
      <c r="D7" s="446"/>
      <c r="E7" s="446"/>
      <c r="F7" s="446"/>
      <c r="G7" s="446"/>
      <c r="H7" s="446"/>
      <c r="I7" s="446"/>
      <c r="J7" s="446"/>
      <c r="K7" s="446"/>
      <c r="L7" s="446"/>
      <c r="M7" s="446"/>
      <c r="N7" s="447"/>
    </row>
    <row r="8" spans="1:16" ht="18.75" thickBot="1" x14ac:dyDescent="0.25">
      <c r="A8" s="439" t="s">
        <v>424</v>
      </c>
      <c r="B8" s="440"/>
      <c r="C8" s="440"/>
      <c r="D8" s="440"/>
      <c r="E8" s="440"/>
      <c r="F8" s="440"/>
      <c r="G8" s="441"/>
      <c r="H8" s="439" t="s">
        <v>425</v>
      </c>
      <c r="I8" s="440"/>
      <c r="J8" s="440"/>
      <c r="K8" s="440"/>
      <c r="L8" s="440"/>
      <c r="M8" s="440"/>
      <c r="N8" s="440"/>
      <c r="O8" s="440"/>
      <c r="P8" s="441"/>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64" t="s">
        <v>305</v>
      </c>
      <c r="C3" s="465"/>
      <c r="D3" s="165" t="s">
        <v>6</v>
      </c>
      <c r="E3" s="102" t="s">
        <v>3</v>
      </c>
      <c r="F3" s="102" t="s">
        <v>290</v>
      </c>
    </row>
    <row r="4" spans="2:10" ht="59.25" customHeight="1" x14ac:dyDescent="0.2">
      <c r="B4" s="466"/>
      <c r="C4" s="467"/>
      <c r="D4" s="460">
        <v>450391</v>
      </c>
      <c r="E4" s="460">
        <v>177037</v>
      </c>
      <c r="F4" s="462">
        <v>0.39306999999999997</v>
      </c>
      <c r="J4" s="269"/>
    </row>
    <row r="5" spans="2:10" ht="33" customHeight="1" thickBot="1" x14ac:dyDescent="0.25">
      <c r="B5" s="150" t="s">
        <v>469</v>
      </c>
      <c r="C5" s="151"/>
      <c r="D5" s="461"/>
      <c r="E5" s="461"/>
      <c r="F5" s="463"/>
      <c r="G5" s="283"/>
      <c r="H5" s="283"/>
      <c r="J5" s="269"/>
    </row>
    <row r="6" spans="2:10" ht="16.5" customHeight="1" thickBot="1" x14ac:dyDescent="0.25">
      <c r="B6" s="238" t="s">
        <v>295</v>
      </c>
      <c r="C6" s="239" t="s">
        <v>315</v>
      </c>
      <c r="D6" s="228">
        <v>165712</v>
      </c>
      <c r="E6" s="228">
        <v>69083</v>
      </c>
      <c r="F6" s="227">
        <v>0.41688592256444917</v>
      </c>
    </row>
    <row r="7" spans="2:10" ht="16.5" customHeight="1" x14ac:dyDescent="0.2">
      <c r="B7" s="123" t="s">
        <v>23</v>
      </c>
      <c r="C7" s="124" t="s">
        <v>222</v>
      </c>
      <c r="D7" s="125">
        <v>45438</v>
      </c>
      <c r="E7" s="125">
        <v>20716</v>
      </c>
      <c r="F7" s="126">
        <v>0.45591795413530523</v>
      </c>
    </row>
    <row r="8" spans="2:10" ht="16.5" customHeight="1" x14ac:dyDescent="0.2">
      <c r="B8" s="123" t="s">
        <v>0</v>
      </c>
      <c r="C8" s="132" t="s">
        <v>223</v>
      </c>
      <c r="D8" s="125">
        <v>108244</v>
      </c>
      <c r="E8" s="125">
        <v>47216</v>
      </c>
      <c r="F8" s="126">
        <v>0.436199696980895</v>
      </c>
    </row>
    <row r="9" spans="2:10" ht="16.5" customHeight="1" x14ac:dyDescent="0.2">
      <c r="B9" s="127" t="s">
        <v>296</v>
      </c>
      <c r="C9" s="128" t="s">
        <v>225</v>
      </c>
      <c r="D9" s="125">
        <v>5107</v>
      </c>
      <c r="E9" s="125">
        <v>258</v>
      </c>
      <c r="F9" s="126">
        <v>5.0518895633444291E-2</v>
      </c>
    </row>
    <row r="10" spans="2:10" ht="16.5" customHeight="1" thickBot="1" x14ac:dyDescent="0.25">
      <c r="B10" s="127" t="s">
        <v>24</v>
      </c>
      <c r="C10" s="132" t="s">
        <v>227</v>
      </c>
      <c r="D10" s="125">
        <v>6923</v>
      </c>
      <c r="E10" s="125">
        <v>893</v>
      </c>
      <c r="F10" s="126">
        <v>0.12899032211469016</v>
      </c>
    </row>
    <row r="11" spans="2:10" ht="17.25" thickBot="1" x14ac:dyDescent="0.25">
      <c r="B11" s="238" t="s">
        <v>1</v>
      </c>
      <c r="C11" s="239" t="s">
        <v>315</v>
      </c>
      <c r="D11" s="228">
        <v>284679</v>
      </c>
      <c r="E11" s="228">
        <v>107954</v>
      </c>
      <c r="F11" s="227">
        <v>0.37921307859027187</v>
      </c>
    </row>
    <row r="12" spans="2:10" ht="16.5" customHeight="1" x14ac:dyDescent="0.2">
      <c r="B12" s="123" t="s">
        <v>231</v>
      </c>
      <c r="C12" s="128" t="s">
        <v>226</v>
      </c>
      <c r="D12" s="125">
        <v>6440</v>
      </c>
      <c r="E12" s="125">
        <v>323</v>
      </c>
      <c r="F12" s="126">
        <v>5.0155279503105589E-2</v>
      </c>
    </row>
    <row r="13" spans="2:10" ht="16.5" customHeight="1" x14ac:dyDescent="0.2">
      <c r="B13" s="123" t="s">
        <v>25</v>
      </c>
      <c r="C13" s="124" t="s">
        <v>224</v>
      </c>
      <c r="D13" s="125">
        <v>262652</v>
      </c>
      <c r="E13" s="125">
        <v>104260</v>
      </c>
      <c r="F13" s="126">
        <v>0.39695109879231838</v>
      </c>
    </row>
    <row r="14" spans="2:10" ht="16.5" customHeight="1" x14ac:dyDescent="0.2">
      <c r="B14" s="123" t="s">
        <v>17</v>
      </c>
      <c r="C14" s="124" t="s">
        <v>228</v>
      </c>
      <c r="D14" s="125">
        <v>14736</v>
      </c>
      <c r="E14" s="125">
        <v>3197</v>
      </c>
      <c r="F14" s="126">
        <v>0.21695168295331163</v>
      </c>
    </row>
    <row r="15" spans="2:10" ht="16.5" customHeight="1" x14ac:dyDescent="0.2">
      <c r="B15" s="127" t="s">
        <v>26</v>
      </c>
      <c r="C15" s="128" t="s">
        <v>229</v>
      </c>
      <c r="D15" s="129">
        <v>734</v>
      </c>
      <c r="E15" s="125">
        <v>101</v>
      </c>
      <c r="F15" s="126">
        <v>0.13760217983651227</v>
      </c>
    </row>
    <row r="16" spans="2:10" ht="16.5" customHeight="1" x14ac:dyDescent="0.2">
      <c r="B16" s="127" t="s">
        <v>98</v>
      </c>
      <c r="C16" s="130" t="s">
        <v>232</v>
      </c>
      <c r="D16" s="129">
        <v>104</v>
      </c>
      <c r="E16" s="125">
        <v>69</v>
      </c>
      <c r="F16" s="126">
        <v>0.66346153846153844</v>
      </c>
    </row>
    <row r="17" spans="2:6" ht="28.5" customHeight="1" x14ac:dyDescent="0.2">
      <c r="B17" s="127" t="s">
        <v>99</v>
      </c>
      <c r="C17" s="130" t="s">
        <v>233</v>
      </c>
      <c r="D17" s="129">
        <v>1</v>
      </c>
      <c r="E17" s="125">
        <v>1</v>
      </c>
      <c r="F17" s="126">
        <v>1</v>
      </c>
    </row>
    <row r="18" spans="2:6" ht="16.5" customHeight="1" x14ac:dyDescent="0.2">
      <c r="B18" s="127" t="s">
        <v>101</v>
      </c>
      <c r="C18" s="130" t="s">
        <v>234</v>
      </c>
      <c r="D18" s="129">
        <v>11</v>
      </c>
      <c r="E18" s="125">
        <v>2</v>
      </c>
      <c r="F18" s="126">
        <v>0.18181818181818182</v>
      </c>
    </row>
    <row r="19" spans="2:6" ht="16.5" customHeight="1" thickBot="1" x14ac:dyDescent="0.25">
      <c r="B19" s="127" t="s">
        <v>100</v>
      </c>
      <c r="C19" s="130" t="s">
        <v>235</v>
      </c>
      <c r="D19" s="129">
        <v>1</v>
      </c>
      <c r="E19" s="125">
        <v>1</v>
      </c>
      <c r="F19" s="131">
        <v>1</v>
      </c>
    </row>
    <row r="20" spans="2:6" ht="16.5" customHeight="1" x14ac:dyDescent="0.2">
      <c r="B20" s="451" t="s">
        <v>356</v>
      </c>
      <c r="C20" s="452"/>
      <c r="D20" s="452"/>
      <c r="E20" s="452"/>
      <c r="F20" s="453"/>
    </row>
    <row r="21" spans="2:6" ht="36" customHeight="1" thickBot="1" x14ac:dyDescent="0.25">
      <c r="B21" s="454"/>
      <c r="C21" s="455"/>
      <c r="D21" s="455"/>
      <c r="E21" s="455"/>
      <c r="F21" s="456"/>
    </row>
    <row r="22" spans="2:6" ht="36" customHeight="1" x14ac:dyDescent="0.2">
      <c r="B22" s="472" t="s">
        <v>384</v>
      </c>
      <c r="C22" s="472" t="s">
        <v>392</v>
      </c>
      <c r="D22" s="474"/>
      <c r="E22" s="474"/>
      <c r="F22" s="475"/>
    </row>
    <row r="23" spans="2:6" ht="29.25" customHeight="1" thickBot="1" x14ac:dyDescent="0.25">
      <c r="B23" s="473"/>
      <c r="C23" s="473"/>
      <c r="D23" s="476"/>
      <c r="E23" s="476"/>
      <c r="F23" s="477"/>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6341</v>
      </c>
      <c r="D26" s="241">
        <v>5481</v>
      </c>
      <c r="E26" s="241">
        <v>860</v>
      </c>
      <c r="F26" s="242">
        <v>0.157</v>
      </c>
    </row>
    <row r="27" spans="2:6" x14ac:dyDescent="0.2">
      <c r="B27" s="118" t="s">
        <v>33</v>
      </c>
      <c r="C27" s="141">
        <v>981</v>
      </c>
      <c r="D27" s="141">
        <v>885</v>
      </c>
      <c r="E27" s="141">
        <v>96</v>
      </c>
      <c r="F27" s="293">
        <v>0.108</v>
      </c>
    </row>
    <row r="28" spans="2:6" x14ac:dyDescent="0.2">
      <c r="B28" s="121" t="s">
        <v>34</v>
      </c>
      <c r="C28" s="204">
        <v>593</v>
      </c>
      <c r="D28" s="204">
        <v>534</v>
      </c>
      <c r="E28" s="204">
        <v>59</v>
      </c>
      <c r="F28" s="294">
        <v>0.11</v>
      </c>
    </row>
    <row r="29" spans="2:6" x14ac:dyDescent="0.2">
      <c r="B29" s="118" t="s">
        <v>35</v>
      </c>
      <c r="C29" s="204">
        <v>1276</v>
      </c>
      <c r="D29" s="204">
        <v>1450</v>
      </c>
      <c r="E29" s="204">
        <v>-174</v>
      </c>
      <c r="F29" s="294">
        <v>-0.12</v>
      </c>
    </row>
    <row r="30" spans="2:6" x14ac:dyDescent="0.2">
      <c r="B30" s="122" t="s">
        <v>36</v>
      </c>
      <c r="C30" s="205">
        <v>3491</v>
      </c>
      <c r="D30" s="205">
        <v>2612</v>
      </c>
      <c r="E30" s="205">
        <v>879</v>
      </c>
      <c r="F30" s="295">
        <v>0.33700000000000002</v>
      </c>
    </row>
    <row r="31" spans="2:6" ht="16.5" x14ac:dyDescent="0.2">
      <c r="B31" s="240" t="s">
        <v>301</v>
      </c>
      <c r="C31" s="241">
        <v>45058</v>
      </c>
      <c r="D31" s="241">
        <v>43686</v>
      </c>
      <c r="E31" s="241">
        <v>1372</v>
      </c>
      <c r="F31" s="242">
        <v>3.1E-2</v>
      </c>
    </row>
    <row r="32" spans="2:6" x14ac:dyDescent="0.2">
      <c r="B32" s="118" t="s">
        <v>33</v>
      </c>
      <c r="C32" s="141">
        <v>5195</v>
      </c>
      <c r="D32" s="141">
        <v>4314</v>
      </c>
      <c r="E32" s="141">
        <v>881</v>
      </c>
      <c r="F32" s="293">
        <v>0.20399999999999999</v>
      </c>
    </row>
    <row r="33" spans="2:6" x14ac:dyDescent="0.2">
      <c r="B33" s="121" t="s">
        <v>34</v>
      </c>
      <c r="C33" s="204">
        <v>3909</v>
      </c>
      <c r="D33" s="204">
        <v>3565</v>
      </c>
      <c r="E33" s="204">
        <v>344</v>
      </c>
      <c r="F33" s="294">
        <v>9.6000000000000002E-2</v>
      </c>
    </row>
    <row r="34" spans="2:6" x14ac:dyDescent="0.2">
      <c r="B34" s="118" t="s">
        <v>35</v>
      </c>
      <c r="C34" s="204">
        <v>15688</v>
      </c>
      <c r="D34" s="204">
        <v>16632</v>
      </c>
      <c r="E34" s="204">
        <v>-944</v>
      </c>
      <c r="F34" s="294">
        <v>-5.7000000000000002E-2</v>
      </c>
    </row>
    <row r="35" spans="2:6" ht="15.75" thickBot="1" x14ac:dyDescent="0.25">
      <c r="B35" s="118" t="s">
        <v>36</v>
      </c>
      <c r="C35" s="204">
        <v>20266</v>
      </c>
      <c r="D35" s="204">
        <v>19175</v>
      </c>
      <c r="E35" s="204">
        <v>1091</v>
      </c>
      <c r="F35" s="294">
        <v>5.7000000000000002E-2</v>
      </c>
    </row>
    <row r="36" spans="2:6" ht="15.75" customHeight="1" thickBot="1" x14ac:dyDescent="0.25">
      <c r="B36" s="469" t="s">
        <v>41</v>
      </c>
      <c r="C36" s="470"/>
      <c r="D36" s="470"/>
      <c r="E36" s="470"/>
      <c r="F36" s="471"/>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7" t="s">
        <v>41</v>
      </c>
      <c r="C49" s="458"/>
      <c r="D49" s="458"/>
      <c r="E49" s="458"/>
      <c r="F49" s="459"/>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7" t="s">
        <v>41</v>
      </c>
      <c r="C62" s="458"/>
      <c r="D62" s="458"/>
      <c r="E62" s="458"/>
      <c r="F62" s="459"/>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7" t="s">
        <v>41</v>
      </c>
      <c r="C76" s="458"/>
      <c r="D76" s="458"/>
      <c r="E76" s="458"/>
      <c r="F76" s="459"/>
      <c r="J76" s="468"/>
      <c r="K76" s="468"/>
      <c r="L76" s="468"/>
      <c r="M76" s="468"/>
      <c r="N76" s="468"/>
      <c r="O76" s="468"/>
      <c r="P76" s="468"/>
      <c r="Q76" s="468"/>
      <c r="R76" s="468"/>
    </row>
    <row r="77" spans="2:18" ht="45.75" hidden="1" customHeight="1" x14ac:dyDescent="0.2">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3" priority="26" stopIfTrue="1">
      <formula>ISERROR(F7)</formula>
    </cfRule>
  </conditionalFormatting>
  <conditionalFormatting sqref="F9">
    <cfRule type="expression" dxfId="92"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3" t="s">
        <v>391</v>
      </c>
      <c r="D1" s="494"/>
      <c r="E1" s="494"/>
      <c r="F1" s="494"/>
      <c r="G1" s="494"/>
      <c r="H1" s="494"/>
      <c r="I1" s="494"/>
      <c r="J1" s="493" t="s">
        <v>399</v>
      </c>
      <c r="K1" s="494"/>
      <c r="L1" s="494"/>
      <c r="M1" s="503"/>
    </row>
    <row r="2" spans="2:16" ht="24" customHeight="1" thickBot="1" x14ac:dyDescent="0.4">
      <c r="B2" s="220"/>
      <c r="C2" s="495"/>
      <c r="D2" s="496"/>
      <c r="E2" s="496"/>
      <c r="F2" s="496"/>
      <c r="G2" s="496"/>
      <c r="H2" s="496"/>
      <c r="I2" s="496"/>
      <c r="J2" s="495" t="str">
        <f>Transformation!B5</f>
        <v>As of April 18, 2015</v>
      </c>
      <c r="K2" s="496"/>
      <c r="L2" s="496"/>
      <c r="M2" s="504"/>
    </row>
    <row r="3" spans="2:16" ht="73.5" customHeight="1" thickBot="1" x14ac:dyDescent="0.25">
      <c r="B3" s="220"/>
      <c r="C3" s="483" t="s">
        <v>427</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
      <c r="B5" s="99"/>
      <c r="C5" s="66" t="s">
        <v>222</v>
      </c>
      <c r="D5" s="505" t="s">
        <v>23</v>
      </c>
      <c r="E5" s="506"/>
      <c r="F5" s="61" t="s">
        <v>225</v>
      </c>
      <c r="G5" s="505" t="s">
        <v>230</v>
      </c>
      <c r="H5" s="507"/>
      <c r="I5" s="61" t="s">
        <v>228</v>
      </c>
      <c r="J5" s="62" t="s">
        <v>17</v>
      </c>
      <c r="K5" s="61" t="s">
        <v>233</v>
      </c>
      <c r="L5" s="508" t="s">
        <v>99</v>
      </c>
      <c r="M5" s="509"/>
    </row>
    <row r="6" spans="2:16" ht="51.75" customHeight="1" x14ac:dyDescent="0.2">
      <c r="B6" s="99"/>
      <c r="C6" s="67" t="s">
        <v>223</v>
      </c>
      <c r="D6" s="500" t="s">
        <v>0</v>
      </c>
      <c r="E6" s="501"/>
      <c r="F6" s="63" t="s">
        <v>226</v>
      </c>
      <c r="G6" s="502" t="s">
        <v>231</v>
      </c>
      <c r="H6" s="502"/>
      <c r="I6" s="63" t="s">
        <v>229</v>
      </c>
      <c r="J6" s="31" t="s">
        <v>26</v>
      </c>
      <c r="K6" s="63" t="s">
        <v>234</v>
      </c>
      <c r="L6" s="510" t="s">
        <v>101</v>
      </c>
      <c r="M6" s="511"/>
    </row>
    <row r="7" spans="2:16" ht="51.75" customHeight="1" thickBot="1" x14ac:dyDescent="0.25">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
      <c r="C9" s="486" t="s">
        <v>390</v>
      </c>
      <c r="D9" s="486"/>
      <c r="E9" s="486"/>
      <c r="F9" s="486"/>
      <c r="G9" s="486"/>
      <c r="H9" s="486"/>
      <c r="I9" s="486"/>
      <c r="J9" s="486"/>
      <c r="K9" s="486"/>
      <c r="L9" s="486"/>
      <c r="M9" s="48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450391</v>
      </c>
      <c r="D11" s="251">
        <f>IF(ISNA(VLOOKUP(B11,EDW_FEEDER!$T$2:$AH$86,3,FALSE))=TRUE,"",VLOOKUP(B11,EDW_FEEDER!$T$2:$AH$86,3,FALSE))</f>
        <v>130.5</v>
      </c>
      <c r="E11" s="252">
        <f>IF(ISNA(VLOOKUP(B11,EDW_FEEDER!$T$2:$AH$86,4,FALSE))=TRUE,"",VLOOKUP(B11,EDW_FEEDER!$T$2:$AH$870,4,FALSE))</f>
        <v>0.39306999999999997</v>
      </c>
      <c r="F11" s="250">
        <f>IF(ISNA(VLOOKUP(B11,EDW_FEEDER!$T$2:$AH$86,5,FALSE))=TRUE,"",VLOOKUP(B11,EDW_FEEDER!$T$2:$AH$86,5,FALSE))</f>
        <v>72106</v>
      </c>
      <c r="G11" s="250">
        <f>IF(ISNA(VLOOKUP(B11,EDW_FEEDER!$T$2:$AH$86,6,FALSE))=TRUE,"",VLOOKUP(B11,EDW_FEEDER!$T$2:$AH$86,6,FALSE))</f>
        <v>742178</v>
      </c>
      <c r="H11" s="251">
        <f>IF(ISNA(VLOOKUP(B11,EDW_FEEDER!$T$2:$AH$86,7,FALSE))=TRUE,"",VLOOKUP(B11,EDW_FEEDER!$T$2:$AH$86,7,FALSE))</f>
        <v>170.5</v>
      </c>
      <c r="I11" s="251">
        <f>IF(ISNA(VLOOKUP(B11,EDW_FEEDER!$T$2:$AH$86,8,FALSE))=TRUE,"",VLOOKUP(B11,EDW_FEEDER!$T$2:$AH$86,8,FALSE))</f>
        <v>182.6</v>
      </c>
      <c r="J11" s="282">
        <f>VLOOKUP(B11,Accuracy!$AD$7:$AQ$69,3,FALSE)</f>
        <v>0.96047104710471043</v>
      </c>
      <c r="K11" s="282">
        <f>VLOOKUP(B11,Accuracy!$AD$7:$AQ$69,6,FALSE)</f>
        <v>0.90544929628293036</v>
      </c>
      <c r="L11" s="282">
        <f>VLOOKUP(B11,Accuracy!$AD$7:$AQ$69,9,FALSE)</f>
        <v>0.90975286849073256</v>
      </c>
      <c r="M11" s="282">
        <f>VLOOKUP(B11,Accuracy!$AD$7:$AQ$69,12,FALSE)</f>
        <v>0.91750966974114845</v>
      </c>
      <c r="P11" s="70" t="s">
        <v>151</v>
      </c>
    </row>
    <row r="12" spans="2:16" x14ac:dyDescent="0.2">
      <c r="B12" s="478" t="s">
        <v>385</v>
      </c>
      <c r="C12" s="479"/>
      <c r="D12" s="479"/>
      <c r="E12" s="479"/>
      <c r="F12" s="479"/>
      <c r="G12" s="479"/>
      <c r="H12" s="479"/>
      <c r="I12" s="479"/>
      <c r="J12" s="479"/>
      <c r="K12" s="479"/>
      <c r="L12" s="479"/>
      <c r="M12" s="480"/>
      <c r="P12" s="182" t="s">
        <v>152</v>
      </c>
    </row>
    <row r="13" spans="2:16" x14ac:dyDescent="0.2">
      <c r="B13" s="217" t="s">
        <v>386</v>
      </c>
      <c r="C13" s="250">
        <f>IF(ISNA(VLOOKUP("USAV",EDW_FEEDER!$T$2:$AH$86,2,FALSE))=TRUE,"",VLOOKUP("USAV",EDW_FEEDER!$T$2:$AH$86,2,FALSE))</f>
        <v>412735</v>
      </c>
      <c r="D13" s="251">
        <f>IF(ISNA(VLOOKUP("USAV",EDW_FEEDER!$T$2:$AH$86,3,FALSE))=TRUE,"",VLOOKUP("USAV",EDW_FEEDER!$T$2:$AH$86,3,FALSE))</f>
        <v>136</v>
      </c>
      <c r="E13" s="252">
        <f>IF(ISNA(VLOOKUP("USAV",EDW_FEEDER!$T$2:$AH$86,4,FALSE))=TRUE,"",VLOOKUP("USAV",EDW_FEEDER!$T$2:$AH$870,4,FALSE))</f>
        <v>0.41592000000000001</v>
      </c>
      <c r="F13" s="250">
        <f>IF(ISNA(VLOOKUP("USAV",EDW_FEEDER!$T$2:$AH$86,5,FALSE))=TRUE,"",VLOOKUP("USAV",EDW_FEEDER!$T$2:$AH$86,5,FALSE))</f>
        <v>62034</v>
      </c>
      <c r="G13" s="250">
        <f>IF(ISNA(VLOOKUP("USAV",EDW_FEEDER!$T$2:$AH$86,6,FALSE))=TRUE,"",VLOOKUP("USAV",EDW_FEEDER!$T$2:$AH$86,6,FALSE))</f>
        <v>630457</v>
      </c>
      <c r="H13" s="251">
        <f>IF(ISNA(VLOOKUP("USAV",EDW_FEEDER!$T$2:$AH$86,7,FALSE))=TRUE,"",VLOOKUP("USAV",EDW_FEEDER!$T$2:$AH$86,7,FALSE))</f>
        <v>184</v>
      </c>
      <c r="I13" s="251">
        <f>IF(ISNA(VLOOKUP("USAV",EDW_FEEDER!$T$2:$AH$86,8,FALSE))=TRUE,"",VLOOKUP("USAV",EDW_FEEDER!$T$2:$AH$86,8,FALSE))</f>
        <v>199.8</v>
      </c>
      <c r="J13" s="253"/>
      <c r="K13" s="253"/>
      <c r="L13" s="253"/>
      <c r="M13" s="253"/>
      <c r="P13" s="182" t="s">
        <v>9</v>
      </c>
    </row>
    <row r="14" spans="2:16" x14ac:dyDescent="0.2">
      <c r="B14" s="216" t="s">
        <v>149</v>
      </c>
      <c r="C14" s="250">
        <f>IF(ISNA(VLOOKUP($B14,EDW_FEEDER!$T$2:$AH$86,2,FALSE))=TRUE,"",VLOOKUP($B14,EDW_FEEDER!$T$2:$AH$86,2,FALSE))</f>
        <v>76313</v>
      </c>
      <c r="D14" s="251">
        <f>IF(ISNA(VLOOKUP(B14,EDW_FEEDER!$T$2:$AH$86,3,FALSE))=TRUE,"",VLOOKUP(B14,EDW_FEEDER!$T$2:$AH$86,3,FALSE))</f>
        <v>138</v>
      </c>
      <c r="E14" s="252">
        <f>IF(ISNA(VLOOKUP(B14,EDW_FEEDER!$T$2:$AH$86,4,FALSE))=TRUE,"",VLOOKUP(B14,EDW_FEEDER!$T$2:$AH$870,4,FALSE))</f>
        <v>0.42831000000000002</v>
      </c>
      <c r="F14" s="250">
        <f>IF(ISNA(VLOOKUP(B14,EDW_FEEDER!$T$2:$AH$86,5,FALSE))=TRUE,"",VLOOKUP(B14,EDW_FEEDER!$T$2:$AH$86,5,FALSE))</f>
        <v>12310</v>
      </c>
      <c r="G14" s="250">
        <f>IF(ISNA(VLOOKUP(B14,EDW_FEEDER!$T$2:$AH$86,6,FALSE))=TRUE,"",VLOOKUP(B14,EDW_FEEDER!$T$2:$AH$86,6,FALSE))</f>
        <v>125519</v>
      </c>
      <c r="H14" s="251">
        <f>IF(ISNA(VLOOKUP(B14,EDW_FEEDER!$T$2:$AH$86,7,FALSE))=TRUE,"",VLOOKUP(B14,EDW_FEEDER!$T$2:$AH$86,7,FALSE))</f>
        <v>182.3</v>
      </c>
      <c r="I14" s="251">
        <f>IF(ISNA(VLOOKUP(B14,EDW_FEEDER!$T$2:$AH$86,8,FALSE))=TRUE,"",VLOOKUP(B14,EDW_FEEDER!$T$2:$AH$86,8,FALSE))</f>
        <v>196.6</v>
      </c>
      <c r="J14" s="252">
        <f>IF(ISNA(VLOOKUP(B14,Accuracy!$AD$7:$AQ$69,3,FALSE))=TRUE,"-",VLOOKUP(B14,Accuracy!$AD$7:$AQ$69,3,FALSE))</f>
        <v>0.95268763933614076</v>
      </c>
      <c r="K14" s="252">
        <f>IF(ISNA(VLOOKUP(B14,Accuracy!$AD$7:$AQ$69,6,FALSE))=TRUE,"-",VLOOKUP(B14,Accuracy!$AD$7:$AQ$69,6,FALSE))</f>
        <v>0.88325471698113212</v>
      </c>
      <c r="L14" s="252">
        <f>IF(ISNA(VLOOKUP(B14,Accuracy!$AD$7:$AQ$69,9,FALSE))=TRUE,"-",VLOOKUP(B14,Accuracy!$AD$7:$AQ$69,9,FALSE))</f>
        <v>0.89891975308641969</v>
      </c>
      <c r="M14" s="252">
        <f>IF(ISNA(VLOOKUP(B14,Accuracy!$AD$7:$AQ$69,12,FALSE))=TRUE,"-",VLOOKUP(B14,Accuracy!$AD$7:$AQ$69,12,FALSE))</f>
        <v>0.90568544102019133</v>
      </c>
    </row>
    <row r="15" spans="2:16" x14ac:dyDescent="0.2">
      <c r="B15" s="112" t="str">
        <f>IF(ISBLANK(VLOOKUP($B$14,EDW_FEEDER!$A$117:$AK$121,2,FALSE))=TRUE,"",VLOOKUP($B$14,EDW_FEEDER!$A$117:$AK$121,2,FALSE))</f>
        <v>Baltimore</v>
      </c>
      <c r="C15" s="250">
        <f>IF(ISNA(VLOOKUP($B15,EDW_FEEDER!$T$2:$AH$86,2,FALSE))=TRUE,"",VLOOKUP($B15,EDW_FEEDER!$T$2:$AH$86,2,FALSE))</f>
        <v>7702</v>
      </c>
      <c r="D15" s="251">
        <f>IF(ISNA(VLOOKUP(B15,EDW_FEEDER!$T$2:$AH$86,3,FALSE))=TRUE,"",VLOOKUP(B15,EDW_FEEDER!$T$2:$AH$86,3,FALSE))</f>
        <v>180.5</v>
      </c>
      <c r="E15" s="252">
        <f>IF(ISNA(VLOOKUP(B15,EDW_FEEDER!$T$2:$AH$86,4,FALSE))=TRUE,"",VLOOKUP(B15,EDW_FEEDER!$T$2:$AH$870,4,FALSE))</f>
        <v>0.54895000000000005</v>
      </c>
      <c r="F15" s="250">
        <f>IF(ISNA(VLOOKUP(B15,EDW_FEEDER!$T$2:$AH$86,5,FALSE))=TRUE,"",VLOOKUP(B15,EDW_FEEDER!$T$2:$AH$86,5,FALSE))</f>
        <v>1312</v>
      </c>
      <c r="G15" s="250">
        <f>IF(ISNA(VLOOKUP(B15,EDW_FEEDER!$T$2:$AH$86,6,FALSE))=TRUE,"",VLOOKUP(B15,EDW_FEEDER!$T$2:$AH$86,6,FALSE))</f>
        <v>9777</v>
      </c>
      <c r="H15" s="251">
        <f>IF(ISNA(VLOOKUP(B15,EDW_FEEDER!$T$2:$AH$86,7,FALSE))=TRUE,"",VLOOKUP(B15,EDW_FEEDER!$T$2:$AH$86,7,FALSE))</f>
        <v>244.8</v>
      </c>
      <c r="I15" s="251">
        <f>IF(ISNA(VLOOKUP(B15,EDW_FEEDER!$T$2:$AH$86,8,FALSE))=TRUE,"",VLOOKUP(B15,EDW_FEEDER!$T$2:$AH$86,8,FALSE))</f>
        <v>277</v>
      </c>
      <c r="J15" s="252">
        <f>IF(ISNA(VLOOKUP(B15,Accuracy!$AD$7:$AQ$69,3,FALSE))=TRUE,"",VLOOKUP(B15,Accuracy!$AD$7:$AQ$69,3,FALSE))</f>
        <v>0.92576419213973793</v>
      </c>
      <c r="K15" s="252">
        <f>IF(ISNA(VLOOKUP(B15,Accuracy!$AD$7:$AQ$69,6,FALSE))=TRUE,"",VLOOKUP(B15,Accuracy!$AD$7:$AQ$69,6,FALSE))</f>
        <v>0.82222222222222219</v>
      </c>
      <c r="L15" s="252">
        <f>IF(ISNA(VLOOKUP(B15,Accuracy!$AD$7:$AQ$69,9,FALSE))=TRUE,"",VLOOKUP(B15,Accuracy!$AD$7:$AQ$69,9,FALSE))</f>
        <v>0.82051282051282048</v>
      </c>
      <c r="M15" s="252">
        <f>IF(ISNA(VLOOKUP(B15,Accuracy!$AD$7:$AQ$69,12,FALSE))=TRUE,"",VLOOKUP(B15,Accuracy!$AD$7:$AQ$69,12,FALSE))</f>
        <v>0.8425531914893617</v>
      </c>
    </row>
    <row r="16" spans="2:16" x14ac:dyDescent="0.2">
      <c r="B16" s="112" t="str">
        <f>IF(ISBLANK(VLOOKUP($B$14,EDW_FEEDER!$A$117:$AK$121,3,FALSE))=TRUE,"",VLOOKUP($B$14,EDW_FEEDER!$A$117:$AK$121,3,FALSE))</f>
        <v>Boston</v>
      </c>
      <c r="C16" s="250">
        <f>IF(ISNA(VLOOKUP($B16,EDW_FEEDER!$T$2:$AH$86,2,FALSE))=TRUE,"",VLOOKUP($B16,EDW_FEEDER!$T$2:$AH$86,2,FALSE))</f>
        <v>4411</v>
      </c>
      <c r="D16" s="251">
        <f>IF(ISNA(VLOOKUP(B16,EDW_FEEDER!$T$2:$AH$86,3,FALSE))=TRUE,"",VLOOKUP(B16,EDW_FEEDER!$T$2:$AH$86,3,FALSE))</f>
        <v>150.4</v>
      </c>
      <c r="E16" s="252">
        <f>IF(ISNA(VLOOKUP(B16,EDW_FEEDER!$T$2:$AH$86,4,FALSE))=TRUE,"",VLOOKUP(B16,EDW_FEEDER!$T$2:$AH$870,4,FALSE))</f>
        <v>0.48492000000000002</v>
      </c>
      <c r="F16" s="250">
        <f>IF(ISNA(VLOOKUP(B16,EDW_FEEDER!$T$2:$AH$86,5,FALSE))=TRUE,"",VLOOKUP(B16,EDW_FEEDER!$T$2:$AH$86,5,FALSE))</f>
        <v>679</v>
      </c>
      <c r="G16" s="250">
        <f>IF(ISNA(VLOOKUP(B16,EDW_FEEDER!$T$2:$AH$86,6,FALSE))=TRUE,"",VLOOKUP(B16,EDW_FEEDER!$T$2:$AH$86,6,FALSE))</f>
        <v>6561</v>
      </c>
      <c r="H16" s="251">
        <f>IF(ISNA(VLOOKUP(B16,EDW_FEEDER!$T$2:$AH$86,7,FALSE))=TRUE,"",VLOOKUP(B16,EDW_FEEDER!$T$2:$AH$86,7,FALSE))</f>
        <v>200.1</v>
      </c>
      <c r="I16" s="251">
        <f>IF(ISNA(VLOOKUP(B16,EDW_FEEDER!$T$2:$AH$86,8,FALSE))=TRUE,"",VLOOKUP(B16,EDW_FEEDER!$T$2:$AH$86,8,FALSE))</f>
        <v>231.9</v>
      </c>
      <c r="J16" s="252">
        <f>IF(ISNA(VLOOKUP(B16,Accuracy!$AD$7:$AQ$69,3,FALSE))=TRUE,"",VLOOKUP(B16,Accuracy!$AD$7:$AQ$69,3,FALSE))</f>
        <v>0.95238095238095233</v>
      </c>
      <c r="K16" s="252">
        <f>IF(ISNA(VLOOKUP(B16,Accuracy!$AD$7:$AQ$69,6,FALSE))=TRUE,"",VLOOKUP(B16,Accuracy!$AD$7:$AQ$69,6,FALSE))</f>
        <v>0.87755102040816324</v>
      </c>
      <c r="L16" s="252">
        <f>IF(ISNA(VLOOKUP(B16,Accuracy!$AD$7:$AQ$69,9,FALSE))=TRUE,"",VLOOKUP(B16,Accuracy!$AD$7:$AQ$69,9,FALSE))</f>
        <v>0.91983122362869196</v>
      </c>
      <c r="M16" s="252">
        <f>IF(ISNA(VLOOKUP(B16,Accuracy!$AD$7:$AQ$69,12,FALSE))=TRUE,"",VLOOKUP(B16,Accuracy!$AD$7:$AQ$69,12,FALSE))</f>
        <v>0.88571428571428568</v>
      </c>
    </row>
    <row r="17" spans="2:13" x14ac:dyDescent="0.2">
      <c r="B17" s="112" t="str">
        <f>IF(ISBLANK(VLOOKUP($B$14,EDW_FEEDER!$A$117:$AK$121,4,FALSE))=TRUE,"",VLOOKUP($B$14,EDW_FEEDER!$A$117:$AK$121,4,FALSE))</f>
        <v>Buffalo</v>
      </c>
      <c r="C17" s="250">
        <f>IF(ISNA(VLOOKUP($B17,EDW_FEEDER!$T$2:$AH$86,2,FALSE))=TRUE,"",VLOOKUP($B17,EDW_FEEDER!$T$2:$AH$86,2,FALSE))</f>
        <v>5487</v>
      </c>
      <c r="D17" s="251">
        <f>IF(ISNA(VLOOKUP(B17,EDW_FEEDER!$T$2:$AH$86,3,FALSE))=TRUE,"",VLOOKUP(B17,EDW_FEEDER!$T$2:$AH$86,3,FALSE))</f>
        <v>140.1</v>
      </c>
      <c r="E17" s="252">
        <f>IF(ISNA(VLOOKUP(B17,EDW_FEEDER!$T$2:$AH$86,4,FALSE))=TRUE,"",VLOOKUP(B17,EDW_FEEDER!$T$2:$AH$870,4,FALSE))</f>
        <v>0.47384999999999999</v>
      </c>
      <c r="F17" s="250">
        <f>IF(ISNA(VLOOKUP(B17,EDW_FEEDER!$T$2:$AH$86,5,FALSE))=TRUE,"",VLOOKUP(B17,EDW_FEEDER!$T$2:$AH$86,5,FALSE))</f>
        <v>634</v>
      </c>
      <c r="G17" s="250">
        <f>IF(ISNA(VLOOKUP(B17,EDW_FEEDER!$T$2:$AH$86,6,FALSE))=TRUE,"",VLOOKUP(B17,EDW_FEEDER!$T$2:$AH$86,6,FALSE))</f>
        <v>6804</v>
      </c>
      <c r="H17" s="251">
        <f>IF(ISNA(VLOOKUP(B17,EDW_FEEDER!$T$2:$AH$86,7,FALSE))=TRUE,"",VLOOKUP(B17,EDW_FEEDER!$T$2:$AH$86,7,FALSE))</f>
        <v>223.6</v>
      </c>
      <c r="I17" s="251">
        <f>IF(ISNA(VLOOKUP(B17,EDW_FEEDER!$T$2:$AH$86,8,FALSE))=TRUE,"",VLOOKUP(B17,EDW_FEEDER!$T$2:$AH$86,8,FALSE))</f>
        <v>228.1</v>
      </c>
      <c r="J17" s="252">
        <f>IF(ISNA(VLOOKUP(B17,Accuracy!$AD$7:$AQ$69,3,FALSE))=TRUE,"",VLOOKUP(B17,Accuracy!$AD$7:$AQ$69,3,FALSE))</f>
        <v>0.95394736842105265</v>
      </c>
      <c r="K17" s="252">
        <f>IF(ISNA(VLOOKUP(B17,Accuracy!$AD$7:$AQ$69,6,FALSE))=TRUE,"",VLOOKUP(B17,Accuracy!$AD$7:$AQ$69,6,FALSE))</f>
        <v>0.89130434782608692</v>
      </c>
      <c r="L17" s="252">
        <f>IF(ISNA(VLOOKUP(B17,Accuracy!$AD$7:$AQ$69,9,FALSE))=TRUE,"",VLOOKUP(B17,Accuracy!$AD$7:$AQ$69,9,FALSE))</f>
        <v>0.90756302521008403</v>
      </c>
      <c r="M17" s="252">
        <f>IF(ISNA(VLOOKUP(B17,Accuracy!$AD$7:$AQ$69,12,FALSE))=TRUE,"",VLOOKUP(B17,Accuracy!$AD$7:$AQ$69,12,FALSE))</f>
        <v>0.89224137931034486</v>
      </c>
    </row>
    <row r="18" spans="2:13" x14ac:dyDescent="0.2">
      <c r="B18" s="112" t="str">
        <f>IF(ISBLANK(VLOOKUP($B$14,EDW_FEEDER!$A$117:$AK$121,5,FALSE))=TRUE,"",VLOOKUP($B$14,EDW_FEEDER!$A$117:$AK$121,5,FALSE))</f>
        <v>Cleveland</v>
      </c>
      <c r="C18" s="250">
        <f>IF(ISNA(VLOOKUP($B18,EDW_FEEDER!$T$2:$AH$86,2,FALSE))=TRUE,"",VLOOKUP($B18,EDW_FEEDER!$T$2:$AH$86,2,FALSE))</f>
        <v>9198</v>
      </c>
      <c r="D18" s="251">
        <f>IF(ISNA(VLOOKUP(B18,EDW_FEEDER!$T$2:$AH$86,3,FALSE))=TRUE,"",VLOOKUP(B18,EDW_FEEDER!$T$2:$AH$86,3,FALSE))</f>
        <v>110.8</v>
      </c>
      <c r="E18" s="252">
        <f>IF(ISNA(VLOOKUP(B18,EDW_FEEDER!$T$2:$AH$86,4,FALSE))=TRUE,"",VLOOKUP(B18,EDW_FEEDER!$T$2:$AH$870,4,FALSE))</f>
        <v>0.29887000000000002</v>
      </c>
      <c r="F18" s="250">
        <f>IF(ISNA(VLOOKUP(B18,EDW_FEEDER!$T$2:$AH$86,5,FALSE))=TRUE,"",VLOOKUP(B18,EDW_FEEDER!$T$2:$AH$86,5,FALSE))</f>
        <v>1366</v>
      </c>
      <c r="G18" s="250">
        <f>IF(ISNA(VLOOKUP(B18,EDW_FEEDER!$T$2:$AH$86,6,FALSE))=TRUE,"",VLOOKUP(B18,EDW_FEEDER!$T$2:$AH$86,6,FALSE))</f>
        <v>16857</v>
      </c>
      <c r="H18" s="251">
        <f>IF(ISNA(VLOOKUP(B18,EDW_FEEDER!$T$2:$AH$86,7,FALSE))=TRUE,"",VLOOKUP(B18,EDW_FEEDER!$T$2:$AH$86,7,FALSE))</f>
        <v>152.30000000000001</v>
      </c>
      <c r="I18" s="251">
        <f>IF(ISNA(VLOOKUP(B18,EDW_FEEDER!$T$2:$AH$86,8,FALSE))=TRUE,"",VLOOKUP(B18,EDW_FEEDER!$T$2:$AH$86,8,FALSE))</f>
        <v>173.1</v>
      </c>
      <c r="J18" s="252">
        <f>IF(ISNA(VLOOKUP(B18,Accuracy!$AD$7:$AQ$69,3,FALSE))=TRUE,"",VLOOKUP(B18,Accuracy!$AD$7:$AQ$69,3,FALSE))</f>
        <v>0.98395721925133695</v>
      </c>
      <c r="K18" s="252">
        <f>IF(ISNA(VLOOKUP(B18,Accuracy!$AD$7:$AQ$69,6,FALSE))=TRUE,"",VLOOKUP(B18,Accuracy!$AD$7:$AQ$69,6,FALSE))</f>
        <v>0.9555555555555556</v>
      </c>
      <c r="L18" s="252">
        <f>IF(ISNA(VLOOKUP(B18,Accuracy!$AD$7:$AQ$69,9,FALSE))=TRUE,"",VLOOKUP(B18,Accuracy!$AD$7:$AQ$69,9,FALSE))</f>
        <v>0.90557939914163088</v>
      </c>
      <c r="M18" s="252">
        <f>IF(ISNA(VLOOKUP(B18,Accuracy!$AD$7:$AQ$69,12,FALSE))=TRUE,"",VLOOKUP(B18,Accuracy!$AD$7:$AQ$69,12,FALSE))</f>
        <v>0.93832599118942728</v>
      </c>
    </row>
    <row r="19" spans="2:13" x14ac:dyDescent="0.2">
      <c r="B19" s="112" t="str">
        <f>IF(ISBLANK(VLOOKUP($B$14,EDW_FEEDER!$A$117:$AK$121,6,FALSE))=TRUE,"",VLOOKUP($B$14,EDW_FEEDER!$A$117:$AK$121,6,FALSE))</f>
        <v>Detroit</v>
      </c>
      <c r="C19" s="250">
        <f>IF(ISNA(VLOOKUP($B19,EDW_FEEDER!$T$2:$AH$86,2,FALSE))=TRUE,"",VLOOKUP($B19,EDW_FEEDER!$T$2:$AH$86,2,FALSE))</f>
        <v>9054</v>
      </c>
      <c r="D19" s="251">
        <f>IF(ISNA(VLOOKUP(B19,EDW_FEEDER!$T$2:$AH$86,3,FALSE))=TRUE,"",VLOOKUP(B19,EDW_FEEDER!$T$2:$AH$86,3,FALSE))</f>
        <v>113.1</v>
      </c>
      <c r="E19" s="252">
        <f>IF(ISNA(VLOOKUP(B19,EDW_FEEDER!$T$2:$AH$86,4,FALSE))=TRUE,"",VLOOKUP(B19,EDW_FEEDER!$T$2:$AH$870,4,FALSE))</f>
        <v>0.33875</v>
      </c>
      <c r="F19" s="250">
        <f>IF(ISNA(VLOOKUP(B19,EDW_FEEDER!$T$2:$AH$86,5,FALSE))=TRUE,"",VLOOKUP(B19,EDW_FEEDER!$T$2:$AH$86,5,FALSE))</f>
        <v>1110</v>
      </c>
      <c r="G19" s="250">
        <f>IF(ISNA(VLOOKUP(B19,EDW_FEEDER!$T$2:$AH$86,6,FALSE))=TRUE,"",VLOOKUP(B19,EDW_FEEDER!$T$2:$AH$86,6,FALSE))</f>
        <v>13721</v>
      </c>
      <c r="H19" s="251">
        <f>IF(ISNA(VLOOKUP(B19,EDW_FEEDER!$T$2:$AH$86,7,FALSE))=TRUE,"",VLOOKUP(B19,EDW_FEEDER!$T$2:$AH$86,7,FALSE))</f>
        <v>177</v>
      </c>
      <c r="I19" s="251">
        <f>IF(ISNA(VLOOKUP(B19,EDW_FEEDER!$T$2:$AH$86,8,FALSE))=TRUE,"",VLOOKUP(B19,EDW_FEEDER!$T$2:$AH$86,8,FALSE))</f>
        <v>185.2</v>
      </c>
      <c r="J19" s="252">
        <f>IF(ISNA(VLOOKUP(B19,Accuracy!$AD$7:$AQ$69,3,FALSE))=TRUE,"",VLOOKUP(B19,Accuracy!$AD$7:$AQ$69,3,FALSE))</f>
        <v>0.96254681647940077</v>
      </c>
      <c r="K19" s="252">
        <f>IF(ISNA(VLOOKUP(B19,Accuracy!$AD$7:$AQ$69,6,FALSE))=TRUE,"",VLOOKUP(B19,Accuracy!$AD$7:$AQ$69,6,FALSE))</f>
        <v>0.88235294117647056</v>
      </c>
      <c r="L19" s="252">
        <f>IF(ISNA(VLOOKUP(B19,Accuracy!$AD$7:$AQ$69,9,FALSE))=TRUE,"",VLOOKUP(B19,Accuracy!$AD$7:$AQ$69,9,FALSE))</f>
        <v>0.88934426229508201</v>
      </c>
      <c r="M19" s="252">
        <f>IF(ISNA(VLOOKUP(B19,Accuracy!$AD$7:$AQ$69,12,FALSE))=TRUE,"",VLOOKUP(B19,Accuracy!$AD$7:$AQ$69,12,FALSE))</f>
        <v>0.90043290043290047</v>
      </c>
    </row>
    <row r="20" spans="2:13" x14ac:dyDescent="0.2">
      <c r="B20" s="112" t="str">
        <f>IF(ISBLANK(VLOOKUP($B$14,EDW_FEEDER!$A$117:$AK$121,7,FALSE))=TRUE,"",VLOOKUP($B$14,EDW_FEEDER!$A$117:$AK$121,7,FALSE))</f>
        <v>Hartford</v>
      </c>
      <c r="C20" s="250">
        <f>IF(ISNA(VLOOKUP($B20,EDW_FEEDER!$T$2:$AH$86,2,FALSE))=TRUE,"",VLOOKUP($B20,EDW_FEEDER!$T$2:$AH$86,2,FALSE))</f>
        <v>2149</v>
      </c>
      <c r="D20" s="251">
        <f>IF(ISNA(VLOOKUP(B20,EDW_FEEDER!$T$2:$AH$86,3,FALSE))=TRUE,"",VLOOKUP(B20,EDW_FEEDER!$T$2:$AH$86,3,FALSE))</f>
        <v>100.1</v>
      </c>
      <c r="E20" s="252">
        <f>IF(ISNA(VLOOKUP(B20,EDW_FEEDER!$T$2:$AH$86,4,FALSE))=TRUE,"",VLOOKUP(B20,EDW_FEEDER!$T$2:$AH$870,4,FALSE))</f>
        <v>0.31317</v>
      </c>
      <c r="F20" s="250">
        <f>IF(ISNA(VLOOKUP(B20,EDW_FEEDER!$T$2:$AH$86,5,FALSE))=TRUE,"",VLOOKUP(B20,EDW_FEEDER!$T$2:$AH$86,5,FALSE))</f>
        <v>268</v>
      </c>
      <c r="G20" s="250">
        <f>IF(ISNA(VLOOKUP(B20,EDW_FEEDER!$T$2:$AH$86,6,FALSE))=TRUE,"",VLOOKUP(B20,EDW_FEEDER!$T$2:$AH$86,6,FALSE))</f>
        <v>3498</v>
      </c>
      <c r="H20" s="251">
        <f>IF(ISNA(VLOOKUP(B20,EDW_FEEDER!$T$2:$AH$86,7,FALSE))=TRUE,"",VLOOKUP(B20,EDW_FEEDER!$T$2:$AH$86,7,FALSE))</f>
        <v>173.9</v>
      </c>
      <c r="I20" s="251">
        <f>IF(ISNA(VLOOKUP(B20,EDW_FEEDER!$T$2:$AH$86,8,FALSE))=TRUE,"",VLOOKUP(B20,EDW_FEEDER!$T$2:$AH$86,8,FALSE))</f>
        <v>161</v>
      </c>
      <c r="J20" s="252">
        <f>IF(ISNA(VLOOKUP(B20,Accuracy!$AD$7:$AQ$69,3,FALSE))=TRUE,"",VLOOKUP(B20,Accuracy!$AD$7:$AQ$69,3,FALSE))</f>
        <v>0.97029702970297027</v>
      </c>
      <c r="K20" s="252">
        <f>IF(ISNA(VLOOKUP(B20,Accuracy!$AD$7:$AQ$69,6,FALSE))=TRUE,"",VLOOKUP(B20,Accuracy!$AD$7:$AQ$69,6,FALSE))</f>
        <v>0.90476190476190477</v>
      </c>
      <c r="L20" s="252">
        <f>IF(ISNA(VLOOKUP(B20,Accuracy!$AD$7:$AQ$69,9,FALSE))=TRUE,"",VLOOKUP(B20,Accuracy!$AD$7:$AQ$69,9,FALSE))</f>
        <v>0.94396551724137934</v>
      </c>
      <c r="M20" s="252">
        <f>IF(ISNA(VLOOKUP(B20,Accuracy!$AD$7:$AQ$69,12,FALSE))=TRUE,"",VLOOKUP(B20,Accuracy!$AD$7:$AQ$69,12,FALSE))</f>
        <v>0.96624472573839659</v>
      </c>
    </row>
    <row r="21" spans="2:13" x14ac:dyDescent="0.2">
      <c r="B21" s="112" t="str">
        <f>IF(ISBLANK(VLOOKUP($B$14,EDW_FEEDER!$A$117:$AK$121,8,FALSE))=TRUE,"",VLOOKUP($B$14,EDW_FEEDER!$A$117:$AK$121,8,FALSE))</f>
        <v>Indianapolis</v>
      </c>
      <c r="C21" s="250">
        <f>IF(ISNA(VLOOKUP($B21,EDW_FEEDER!$T$2:$AH$86,2,FALSE))=TRUE,"",VLOOKUP($B21,EDW_FEEDER!$T$2:$AH$86,2,FALSE))</f>
        <v>7552</v>
      </c>
      <c r="D21" s="251">
        <f>IF(ISNA(VLOOKUP(B21,EDW_FEEDER!$T$2:$AH$86,3,FALSE))=TRUE,"",VLOOKUP(B21,EDW_FEEDER!$T$2:$AH$86,3,FALSE))</f>
        <v>146.69999999999999</v>
      </c>
      <c r="E21" s="252">
        <f>IF(ISNA(VLOOKUP(B21,EDW_FEEDER!$T$2:$AH$86,4,FALSE))=TRUE,"",VLOOKUP(B21,EDW_FEEDER!$T$2:$AH$870,4,FALSE))</f>
        <v>0.44174000000000002</v>
      </c>
      <c r="F21" s="250">
        <f>IF(ISNA(VLOOKUP(B21,EDW_FEEDER!$T$2:$AH$86,5,FALSE))=TRUE,"",VLOOKUP(B21,EDW_FEEDER!$T$2:$AH$86,5,FALSE))</f>
        <v>1292</v>
      </c>
      <c r="G21" s="250">
        <f>IF(ISNA(VLOOKUP(B21,EDW_FEEDER!$T$2:$AH$86,6,FALSE))=TRUE,"",VLOOKUP(B21,EDW_FEEDER!$T$2:$AH$86,6,FALSE))</f>
        <v>10634</v>
      </c>
      <c r="H21" s="251">
        <f>IF(ISNA(VLOOKUP(B21,EDW_FEEDER!$T$2:$AH$86,7,FALSE))=TRUE,"",VLOOKUP(B21,EDW_FEEDER!$T$2:$AH$86,7,FALSE))</f>
        <v>211.7</v>
      </c>
      <c r="I21" s="251">
        <f>IF(ISNA(VLOOKUP(B21,EDW_FEEDER!$T$2:$AH$86,8,FALSE))=TRUE,"",VLOOKUP(B21,EDW_FEEDER!$T$2:$AH$86,8,FALSE))</f>
        <v>233.9</v>
      </c>
      <c r="J21" s="252">
        <f>IF(ISNA(VLOOKUP(B21,Accuracy!$AD$7:$AQ$69,3,FALSE))=TRUE,"",VLOOKUP(B21,Accuracy!$AD$7:$AQ$69,3,FALSE))</f>
        <v>0.97206703910614523</v>
      </c>
      <c r="K21" s="252">
        <f>IF(ISNA(VLOOKUP(B21,Accuracy!$AD$7:$AQ$69,6,FALSE))=TRUE,"",VLOOKUP(B21,Accuracy!$AD$7:$AQ$69,6,FALSE))</f>
        <v>0.97872340425531912</v>
      </c>
      <c r="L21" s="252">
        <f>IF(ISNA(VLOOKUP(B21,Accuracy!$AD$7:$AQ$69,9,FALSE))=TRUE,"",VLOOKUP(B21,Accuracy!$AD$7:$AQ$69,9,FALSE))</f>
        <v>0.9327731092436975</v>
      </c>
      <c r="M21" s="252">
        <f>IF(ISNA(VLOOKUP(B21,Accuracy!$AD$7:$AQ$69,12,FALSE))=TRUE,"",VLOOKUP(B21,Accuracy!$AD$7:$AQ$69,12,FALSE))</f>
        <v>0.93227091633466141</v>
      </c>
    </row>
    <row r="22" spans="2:13" x14ac:dyDescent="0.2">
      <c r="B22" s="112" t="str">
        <f>IF(ISBLANK(VLOOKUP($B$14,EDW_FEEDER!$A$117:$AK$121,9,FALSE))=TRUE,"",VLOOKUP($B$14,EDW_FEEDER!$A$117:$AK$121,9,FALSE))</f>
        <v>Manchester</v>
      </c>
      <c r="C22" s="250">
        <f>IF(ISNA(VLOOKUP($B22,EDW_FEEDER!$T$2:$AH$86,2,FALSE))=TRUE,"",VLOOKUP($B22,EDW_FEEDER!$T$2:$AH$86,2,FALSE))</f>
        <v>1436</v>
      </c>
      <c r="D22" s="251">
        <f>IF(ISNA(VLOOKUP(B22,EDW_FEEDER!$T$2:$AH$86,3,FALSE))=TRUE,"",VLOOKUP(B22,EDW_FEEDER!$T$2:$AH$86,3,FALSE))</f>
        <v>114.3</v>
      </c>
      <c r="E22" s="252">
        <f>IF(ISNA(VLOOKUP(B22,EDW_FEEDER!$T$2:$AH$86,4,FALSE))=TRUE,"",VLOOKUP(B22,EDW_FEEDER!$T$2:$AH$870,4,FALSE))</f>
        <v>0.33495999999999998</v>
      </c>
      <c r="F22" s="250">
        <f>IF(ISNA(VLOOKUP(B22,EDW_FEEDER!$T$2:$AH$86,5,FALSE))=TRUE,"",VLOOKUP(B22,EDW_FEEDER!$T$2:$AH$86,5,FALSE))</f>
        <v>222</v>
      </c>
      <c r="G22" s="250">
        <f>IF(ISNA(VLOOKUP(B22,EDW_FEEDER!$T$2:$AH$86,6,FALSE))=TRUE,"",VLOOKUP(B22,EDW_FEEDER!$T$2:$AH$86,6,FALSE))</f>
        <v>2123</v>
      </c>
      <c r="H22" s="251">
        <f>IF(ISNA(VLOOKUP(B22,EDW_FEEDER!$T$2:$AH$86,7,FALSE))=TRUE,"",VLOOKUP(B22,EDW_FEEDER!$T$2:$AH$86,7,FALSE))</f>
        <v>176.4</v>
      </c>
      <c r="I22" s="251">
        <f>IF(ISNA(VLOOKUP(B22,EDW_FEEDER!$T$2:$AH$86,8,FALSE))=TRUE,"",VLOOKUP(B22,EDW_FEEDER!$T$2:$AH$86,8,FALSE))</f>
        <v>189</v>
      </c>
      <c r="J22" s="252">
        <f>IF(ISNA(VLOOKUP(B22,Accuracy!$AD$7:$AQ$69,3,FALSE))=TRUE,"",VLOOKUP(B22,Accuracy!$AD$7:$AQ$69,3,FALSE))</f>
        <v>0.92703862660944203</v>
      </c>
      <c r="K22" s="252">
        <f>IF(ISNA(VLOOKUP(B22,Accuracy!$AD$7:$AQ$69,6,FALSE))=TRUE,"",VLOOKUP(B22,Accuracy!$AD$7:$AQ$69,6,FALSE))</f>
        <v>0.8867924528301887</v>
      </c>
      <c r="L22" s="252">
        <f>IF(ISNA(VLOOKUP(B22,Accuracy!$AD$7:$AQ$69,9,FALSE))=TRUE,"",VLOOKUP(B22,Accuracy!$AD$7:$AQ$69,9,FALSE))</f>
        <v>0.91176470588235292</v>
      </c>
      <c r="M22" s="252">
        <f>IF(ISNA(VLOOKUP(B22,Accuracy!$AD$7:$AQ$69,12,FALSE))=TRUE,"",VLOOKUP(B22,Accuracy!$AD$7:$AQ$69,12,FALSE))</f>
        <v>0.90212765957446805</v>
      </c>
    </row>
    <row r="23" spans="2:13" x14ac:dyDescent="0.2">
      <c r="B23" s="112" t="str">
        <f>IF(ISBLANK(VLOOKUP($B$14,EDW_FEEDER!$A$117:$AK$121,10,FALSE))=TRUE,"",VLOOKUP($B$14,EDW_FEEDER!$A$117:$AK$121,10,FALSE))</f>
        <v>New York</v>
      </c>
      <c r="C23" s="250">
        <f>IF(ISNA(VLOOKUP($B23,EDW_FEEDER!$T$2:$AH$86,2,FALSE))=TRUE,"",VLOOKUP($B23,EDW_FEEDER!$T$2:$AH$86,2,FALSE))</f>
        <v>6489</v>
      </c>
      <c r="D23" s="251">
        <f>IF(ISNA(VLOOKUP(B23,EDW_FEEDER!$T$2:$AH$86,3,FALSE))=TRUE,"",VLOOKUP(B23,EDW_FEEDER!$T$2:$AH$86,3,FALSE))</f>
        <v>146.4</v>
      </c>
      <c r="E23" s="252">
        <f>IF(ISNA(VLOOKUP(B23,EDW_FEEDER!$T$2:$AH$86,4,FALSE))=TRUE,"",VLOOKUP(B23,EDW_FEEDER!$T$2:$AH$870,4,FALSE))</f>
        <v>0.48436000000000001</v>
      </c>
      <c r="F23" s="250">
        <f>IF(ISNA(VLOOKUP(B23,EDW_FEEDER!$T$2:$AH$86,5,FALSE))=TRUE,"",VLOOKUP(B23,EDW_FEEDER!$T$2:$AH$86,5,FALSE))</f>
        <v>1027</v>
      </c>
      <c r="G23" s="250">
        <f>IF(ISNA(VLOOKUP(B23,EDW_FEEDER!$T$2:$AH$86,6,FALSE))=TRUE,"",VLOOKUP(B23,EDW_FEEDER!$T$2:$AH$86,6,FALSE))</f>
        <v>8535</v>
      </c>
      <c r="H23" s="251">
        <f>IF(ISNA(VLOOKUP(B23,EDW_FEEDER!$T$2:$AH$86,7,FALSE))=TRUE,"",VLOOKUP(B23,EDW_FEEDER!$T$2:$AH$86,7,FALSE))</f>
        <v>201.1</v>
      </c>
      <c r="I23" s="251">
        <f>IF(ISNA(VLOOKUP(B23,EDW_FEEDER!$T$2:$AH$86,8,FALSE))=TRUE,"",VLOOKUP(B23,EDW_FEEDER!$T$2:$AH$86,8,FALSE))</f>
        <v>222.3</v>
      </c>
      <c r="J23" s="252">
        <f>IF(ISNA(VLOOKUP(B23,Accuracy!$AD$7:$AQ$69,3,FALSE))=TRUE,"",VLOOKUP(B23,Accuracy!$AD$7:$AQ$69,3,FALSE))</f>
        <v>0.92718446601941751</v>
      </c>
      <c r="K23" s="252">
        <f>IF(ISNA(VLOOKUP(B23,Accuracy!$AD$7:$AQ$69,6,FALSE))=TRUE,"",VLOOKUP(B23,Accuracy!$AD$7:$AQ$69,6,FALSE))</f>
        <v>0.87234042553191493</v>
      </c>
      <c r="L23" s="252">
        <f>IF(ISNA(VLOOKUP(B23,Accuracy!$AD$7:$AQ$69,9,FALSE))=TRUE,"",VLOOKUP(B23,Accuracy!$AD$7:$AQ$69,9,FALSE))</f>
        <v>0.91880341880341876</v>
      </c>
      <c r="M23" s="252">
        <f>IF(ISNA(VLOOKUP(B23,Accuracy!$AD$7:$AQ$69,12,FALSE))=TRUE,"",VLOOKUP(B23,Accuracy!$AD$7:$AQ$69,12,FALSE))</f>
        <v>0.90869565217391302</v>
      </c>
    </row>
    <row r="24" spans="2:13" x14ac:dyDescent="0.2">
      <c r="B24" s="112" t="str">
        <f>IF(ISBLANK(VLOOKUP($B$14,EDW_FEEDER!$A$117:$AK$121,11,FALSE))=TRUE,"",VLOOKUP($B$14,EDW_FEEDER!$A$117:$AK$121,11,FALSE))</f>
        <v>Newark</v>
      </c>
      <c r="C24" s="250">
        <f>IF(ISNA(VLOOKUP($B24,EDW_FEEDER!$T$2:$AH$86,2,FALSE))=TRUE,"",VLOOKUP($B24,EDW_FEEDER!$T$2:$AH$86,2,FALSE))</f>
        <v>2895</v>
      </c>
      <c r="D24" s="251">
        <f>IF(ISNA(VLOOKUP(B24,EDW_FEEDER!$T$2:$AH$86,3,FALSE))=TRUE,"",VLOOKUP(B24,EDW_FEEDER!$T$2:$AH$86,3,FALSE))</f>
        <v>115.6</v>
      </c>
      <c r="E24" s="252">
        <f>IF(ISNA(VLOOKUP(B24,EDW_FEEDER!$T$2:$AH$86,4,FALSE))=TRUE,"",VLOOKUP(B24,EDW_FEEDER!$T$2:$AH$870,4,FALSE))</f>
        <v>0.37340000000000001</v>
      </c>
      <c r="F24" s="250">
        <f>IF(ISNA(VLOOKUP(B24,EDW_FEEDER!$T$2:$AH$86,5,FALSE))=TRUE,"",VLOOKUP(B24,EDW_FEEDER!$T$2:$AH$86,5,FALSE))</f>
        <v>409</v>
      </c>
      <c r="G24" s="250">
        <f>IF(ISNA(VLOOKUP(B24,EDW_FEEDER!$T$2:$AH$86,6,FALSE))=TRUE,"",VLOOKUP(B24,EDW_FEEDER!$T$2:$AH$86,6,FALSE))</f>
        <v>3990</v>
      </c>
      <c r="H24" s="251">
        <f>IF(ISNA(VLOOKUP(B24,EDW_FEEDER!$T$2:$AH$86,7,FALSE))=TRUE,"",VLOOKUP(B24,EDW_FEEDER!$T$2:$AH$86,7,FALSE))</f>
        <v>156.80000000000001</v>
      </c>
      <c r="I24" s="251">
        <f>IF(ISNA(VLOOKUP(B24,EDW_FEEDER!$T$2:$AH$86,8,FALSE))=TRUE,"",VLOOKUP(B24,EDW_FEEDER!$T$2:$AH$86,8,FALSE))</f>
        <v>169.1</v>
      </c>
      <c r="J24" s="252">
        <f>IF(ISNA(VLOOKUP(B24,Accuracy!$AD$7:$AQ$69,3,FALSE))=TRUE,"",VLOOKUP(B24,Accuracy!$AD$7:$AQ$69,3,FALSE))</f>
        <v>0.9144144144144144</v>
      </c>
      <c r="K24" s="252">
        <f>IF(ISNA(VLOOKUP(B24,Accuracy!$AD$7:$AQ$69,6,FALSE))=TRUE,"",VLOOKUP(B24,Accuracy!$AD$7:$AQ$69,6,FALSE))</f>
        <v>0.875</v>
      </c>
      <c r="L24" s="252">
        <f>IF(ISNA(VLOOKUP(B24,Accuracy!$AD$7:$AQ$69,9,FALSE))=TRUE,"",VLOOKUP(B24,Accuracy!$AD$7:$AQ$69,9,FALSE))</f>
        <v>0.83884297520661155</v>
      </c>
      <c r="M24" s="252">
        <f>IF(ISNA(VLOOKUP(B24,Accuracy!$AD$7:$AQ$69,12,FALSE))=TRUE,"",VLOOKUP(B24,Accuracy!$AD$7:$AQ$69,12,FALSE))</f>
        <v>0.83690987124463523</v>
      </c>
    </row>
    <row r="25" spans="2:13" x14ac:dyDescent="0.2">
      <c r="B25" s="113" t="str">
        <f>IF(ISBLANK(VLOOKUP($B$14,EDW_FEEDER!$A$117:$AK$121,12,FALSE))=TRUE,"",VLOOKUP($B$14,EDW_FEEDER!$A$117:$AK$121,12,FALSE))</f>
        <v>Philadelphia (Non-PMC)</v>
      </c>
      <c r="C25" s="250">
        <f>IF(ISNA(VLOOKUP($B25,EDW_FEEDER!$T$2:$AH$86,2,FALSE))=TRUE,"",VLOOKUP($B25,EDW_FEEDER!$T$2:$AH$86,2,FALSE))</f>
        <v>9691</v>
      </c>
      <c r="D25" s="251">
        <f>IF(ISNA(VLOOKUP(B25,EDW_FEEDER!$T$2:$AH$86,3,FALSE))=TRUE,"",VLOOKUP(B25,EDW_FEEDER!$T$2:$AH$86,3,FALSE))</f>
        <v>158.30000000000001</v>
      </c>
      <c r="E25" s="252">
        <f>IF(ISNA(VLOOKUP(B25,EDW_FEEDER!$T$2:$AH$86,4,FALSE))=TRUE,"",VLOOKUP(B25,EDW_FEEDER!$T$2:$AH$870,4,FALSE))</f>
        <v>0.52368000000000003</v>
      </c>
      <c r="F25" s="250">
        <f>IF(ISNA(VLOOKUP(B25,EDW_FEEDER!$T$2:$AH$86,5,FALSE))=TRUE,"",VLOOKUP(B25,EDW_FEEDER!$T$2:$AH$86,5,FALSE))</f>
        <v>1490</v>
      </c>
      <c r="G25" s="250">
        <f>IF(ISNA(VLOOKUP(B25,EDW_FEEDER!$T$2:$AH$86,6,FALSE))=TRUE,"",VLOOKUP(B25,EDW_FEEDER!$T$2:$AH$86,6,FALSE))</f>
        <v>16818</v>
      </c>
      <c r="H25" s="251">
        <f>IF(ISNA(VLOOKUP(B25,EDW_FEEDER!$T$2:$AH$86,7,FALSE))=TRUE,"",VLOOKUP(B25,EDW_FEEDER!$T$2:$AH$86,7,FALSE))</f>
        <v>217.7</v>
      </c>
      <c r="I25" s="251">
        <f>IF(ISNA(VLOOKUP(B25,EDW_FEEDER!$T$2:$AH$86,8,FALSE))=TRUE,"",VLOOKUP(B25,EDW_FEEDER!$T$2:$AH$86,8,FALSE))</f>
        <v>247.4</v>
      </c>
      <c r="J25" s="252">
        <f>IF(ISNA(VLOOKUP(B25,Accuracy!$AD$7:$AQ$69,3,FALSE))=TRUE,"",VLOOKUP(B25,Accuracy!$AD$7:$AQ$69,3,FALSE))</f>
        <v>0.97446808510638294</v>
      </c>
      <c r="K25" s="252">
        <f>IF(ISNA(VLOOKUP(B25,Accuracy!$AD$7:$AQ$69,6,FALSE))=TRUE,"",VLOOKUP(B25,Accuracy!$AD$7:$AQ$69,6,FALSE))</f>
        <v>0.8928571428571429</v>
      </c>
      <c r="L25" s="252">
        <f>IF(ISNA(VLOOKUP(B25,Accuracy!$AD$7:$AQ$69,9,FALSE))=TRUE,"",VLOOKUP(B25,Accuracy!$AD$7:$AQ$69,9,FALSE))</f>
        <v>0.90243902439024393</v>
      </c>
      <c r="M25" s="252">
        <f>IF(ISNA(VLOOKUP(B25,Accuracy!$AD$7:$AQ$69,12,FALSE))=TRUE,"",VLOOKUP(B25,Accuracy!$AD$7:$AQ$69,12,FALSE))</f>
        <v>0.9</v>
      </c>
    </row>
    <row r="26" spans="2:13" x14ac:dyDescent="0.2">
      <c r="B26" s="112" t="str">
        <f>IF(ISBLANK(VLOOKUP($B$14,EDW_FEEDER!$A$117:$AK$121,13,FALSE))=TRUE,"",VLOOKUP($B$14,EDW_FEEDER!$A$117:$AK$121,13,FALSE))</f>
        <v>Pittsburgh</v>
      </c>
      <c r="C26" s="250">
        <f>IF(ISNA(VLOOKUP($B26,EDW_FEEDER!$T$2:$AH$86,2,FALSE))=TRUE,"",VLOOKUP($B26,EDW_FEEDER!$T$2:$AH$86,2,FALSE))</f>
        <v>5203</v>
      </c>
      <c r="D26" s="251">
        <f>IF(ISNA(VLOOKUP(B26,EDW_FEEDER!$T$2:$AH$86,3,FALSE))=TRUE,"",VLOOKUP(B26,EDW_FEEDER!$T$2:$AH$86,3,FALSE))</f>
        <v>154.9</v>
      </c>
      <c r="E26" s="252">
        <f>IF(ISNA(VLOOKUP(B26,EDW_FEEDER!$T$2:$AH$86,4,FALSE))=TRUE,"",VLOOKUP(B26,EDW_FEEDER!$T$2:$AH$870,4,FALSE))</f>
        <v>0.47069</v>
      </c>
      <c r="F26" s="250">
        <f>IF(ISNA(VLOOKUP(B26,EDW_FEEDER!$T$2:$AH$86,5,FALSE))=TRUE,"",VLOOKUP(B26,EDW_FEEDER!$T$2:$AH$86,5,FALSE))</f>
        <v>813</v>
      </c>
      <c r="G26" s="250">
        <f>IF(ISNA(VLOOKUP(B26,EDW_FEEDER!$T$2:$AH$86,6,FALSE))=TRUE,"",VLOOKUP(B26,EDW_FEEDER!$T$2:$AH$86,6,FALSE))</f>
        <v>7468</v>
      </c>
      <c r="H26" s="251">
        <f>IF(ISNA(VLOOKUP(B26,EDW_FEEDER!$T$2:$AH$86,7,FALSE))=TRUE,"",VLOOKUP(B26,EDW_FEEDER!$T$2:$AH$86,7,FALSE))</f>
        <v>192.4</v>
      </c>
      <c r="I26" s="251">
        <f>IF(ISNA(VLOOKUP(B26,EDW_FEEDER!$T$2:$AH$86,8,FALSE))=TRUE,"",VLOOKUP(B26,EDW_FEEDER!$T$2:$AH$86,8,FALSE))</f>
        <v>221.4</v>
      </c>
      <c r="J26" s="252">
        <f>IF(ISNA(VLOOKUP(B26,Accuracy!$AD$7:$AQ$69,3,FALSE))=TRUE,"",VLOOKUP(B26,Accuracy!$AD$7:$AQ$69,3,FALSE))</f>
        <v>0.9701986754966887</v>
      </c>
      <c r="K26" s="252">
        <f>IF(ISNA(VLOOKUP(B26,Accuracy!$AD$7:$AQ$69,6,FALSE))=TRUE,"",VLOOKUP(B26,Accuracy!$AD$7:$AQ$69,6,FALSE))</f>
        <v>0.9375</v>
      </c>
      <c r="L26" s="252">
        <f>IF(ISNA(VLOOKUP(B26,Accuracy!$AD$7:$AQ$69,9,FALSE))=TRUE,"",VLOOKUP(B26,Accuracy!$AD$7:$AQ$69,9,FALSE))</f>
        <v>0.90295358649789026</v>
      </c>
      <c r="M26" s="252">
        <f>IF(ISNA(VLOOKUP(B26,Accuracy!$AD$7:$AQ$69,12,FALSE))=TRUE,"",VLOOKUP(B26,Accuracy!$AD$7:$AQ$69,12,FALSE))</f>
        <v>0.90948275862068961</v>
      </c>
    </row>
    <row r="27" spans="2:13" x14ac:dyDescent="0.2">
      <c r="B27" s="112" t="str">
        <f>IF(ISBLANK(VLOOKUP($B$14,EDW_FEEDER!$A$117:$AK$121,14,FALSE))=TRUE,"",VLOOKUP($B$14,EDW_FEEDER!$A$117:$AK$121,14,FALSE))</f>
        <v>Providence</v>
      </c>
      <c r="C27" s="250">
        <f>IF(ISNA(VLOOKUP($B27,EDW_FEEDER!$T$2:$AH$86,2,FALSE))=TRUE,"",VLOOKUP($B27,EDW_FEEDER!$T$2:$AH$86,2,FALSE))</f>
        <v>2012</v>
      </c>
      <c r="D27" s="251">
        <f>IF(ISNA(VLOOKUP(B27,EDW_FEEDER!$T$2:$AH$86,3,FALSE))=TRUE,"",VLOOKUP(B27,EDW_FEEDER!$T$2:$AH$86,3,FALSE))</f>
        <v>87.2</v>
      </c>
      <c r="E27" s="252">
        <f>IF(ISNA(VLOOKUP(B27,EDW_FEEDER!$T$2:$AH$86,4,FALSE))=TRUE,"",VLOOKUP(B27,EDW_FEEDER!$T$2:$AH$870,4,FALSE))</f>
        <v>0.25895000000000001</v>
      </c>
      <c r="F27" s="250">
        <f>IF(ISNA(VLOOKUP(B27,EDW_FEEDER!$T$2:$AH$86,5,FALSE))=TRUE,"",VLOOKUP(B27,EDW_FEEDER!$T$2:$AH$86,5,FALSE))</f>
        <v>1203</v>
      </c>
      <c r="G27" s="250">
        <f>IF(ISNA(VLOOKUP(B27,EDW_FEEDER!$T$2:$AH$86,6,FALSE))=TRUE,"",VLOOKUP(B27,EDW_FEEDER!$T$2:$AH$86,6,FALSE))</f>
        <v>13989</v>
      </c>
      <c r="H27" s="251">
        <f>IF(ISNA(VLOOKUP(B27,EDW_FEEDER!$T$2:$AH$86,7,FALSE))=TRUE,"",VLOOKUP(B27,EDW_FEEDER!$T$2:$AH$86,7,FALSE))</f>
        <v>45.6</v>
      </c>
      <c r="I27" s="251">
        <f>IF(ISNA(VLOOKUP(B27,EDW_FEEDER!$T$2:$AH$86,8,FALSE))=TRUE,"",VLOOKUP(B27,EDW_FEEDER!$T$2:$AH$86,8,FALSE))</f>
        <v>59.3</v>
      </c>
      <c r="J27" s="252">
        <f>IF(ISNA(VLOOKUP(B27,Accuracy!$AD$7:$AQ$69,3,FALSE))=TRUE,"",VLOOKUP(B27,Accuracy!$AD$7:$AQ$69,3,FALSE))</f>
        <v>0.97533206831119545</v>
      </c>
      <c r="K27" s="252">
        <f>IF(ISNA(VLOOKUP(B27,Accuracy!$AD$7:$AQ$69,6,FALSE))=TRUE,"",VLOOKUP(B27,Accuracy!$AD$7:$AQ$69,6,FALSE))</f>
        <v>0.89552238805970152</v>
      </c>
      <c r="L27" s="252">
        <f>IF(ISNA(VLOOKUP(B27,Accuracy!$AD$7:$AQ$69,9,FALSE))=TRUE,"",VLOOKUP(B27,Accuracy!$AD$7:$AQ$69,9,FALSE))</f>
        <v>0.93356643356643354</v>
      </c>
      <c r="M27" s="252">
        <f>IF(ISNA(VLOOKUP(B27,Accuracy!$AD$7:$AQ$69,12,FALSE))=TRUE,"",VLOOKUP(B27,Accuracy!$AD$7:$AQ$69,12,FALSE))</f>
        <v>0.92996108949416345</v>
      </c>
    </row>
    <row r="28" spans="2:13" x14ac:dyDescent="0.2">
      <c r="B28" s="112" t="str">
        <f>IF(ISBLANK(VLOOKUP($B$14,EDW_FEEDER!$A$117:$AK$121,15,FALSE))=TRUE,"",VLOOKUP($B$14,EDW_FEEDER!$A$117:$AK$121,15,FALSE))</f>
        <v>Togus</v>
      </c>
      <c r="C28" s="250">
        <f>IF(ISNA(VLOOKUP($B28,EDW_FEEDER!$T$2:$AH$86,2,FALSE))=TRUE,"",VLOOKUP($B28,EDW_FEEDER!$T$2:$AH$86,2,FALSE))</f>
        <v>1391</v>
      </c>
      <c r="D28" s="251">
        <f>IF(ISNA(VLOOKUP(B28,EDW_FEEDER!$T$2:$AH$86,3,FALSE))=TRUE,"",VLOOKUP(B28,EDW_FEEDER!$T$2:$AH$86,3,FALSE))</f>
        <v>100.1</v>
      </c>
      <c r="E28" s="252">
        <f>IF(ISNA(VLOOKUP(B28,EDW_FEEDER!$T$2:$AH$86,4,FALSE))=TRUE,"",VLOOKUP(B28,EDW_FEEDER!$T$2:$AH$870,4,FALSE))</f>
        <v>0.28827999999999998</v>
      </c>
      <c r="F28" s="250">
        <f>IF(ISNA(VLOOKUP(B28,EDW_FEEDER!$T$2:$AH$86,5,FALSE))=TRUE,"",VLOOKUP(B28,EDW_FEEDER!$T$2:$AH$86,5,FALSE))</f>
        <v>257</v>
      </c>
      <c r="G28" s="250">
        <f>IF(ISNA(VLOOKUP(B28,EDW_FEEDER!$T$2:$AH$86,6,FALSE))=TRUE,"",VLOOKUP(B28,EDW_FEEDER!$T$2:$AH$86,6,FALSE))</f>
        <v>2470</v>
      </c>
      <c r="H28" s="251">
        <f>IF(ISNA(VLOOKUP(B28,EDW_FEEDER!$T$2:$AH$86,7,FALSE))=TRUE,"",VLOOKUP(B28,EDW_FEEDER!$T$2:$AH$86,7,FALSE))</f>
        <v>119.3</v>
      </c>
      <c r="I28" s="251">
        <f>IF(ISNA(VLOOKUP(B28,EDW_FEEDER!$T$2:$AH$86,8,FALSE))=TRUE,"",VLOOKUP(B28,EDW_FEEDER!$T$2:$AH$86,8,FALSE))</f>
        <v>121.5</v>
      </c>
      <c r="J28" s="252">
        <f>IF(ISNA(VLOOKUP(B28,Accuracy!$AD$7:$AQ$69,3,FALSE))=TRUE,"",VLOOKUP(B28,Accuracy!$AD$7:$AQ$69,3,FALSE))</f>
        <v>0.93203883495145634</v>
      </c>
      <c r="K28" s="252">
        <f>IF(ISNA(VLOOKUP(B28,Accuracy!$AD$7:$AQ$69,6,FALSE))=TRUE,"",VLOOKUP(B28,Accuracy!$AD$7:$AQ$69,6,FALSE))</f>
        <v>0.83720930232558133</v>
      </c>
      <c r="L28" s="252">
        <f>IF(ISNA(VLOOKUP(B28,Accuracy!$AD$7:$AQ$69,9,FALSE))=TRUE,"",VLOOKUP(B28,Accuracy!$AD$7:$AQ$69,9,FALSE))</f>
        <v>0.91845493562231761</v>
      </c>
      <c r="M28" s="252">
        <f>IF(ISNA(VLOOKUP(B28,Accuracy!$AD$7:$AQ$69,12,FALSE))=TRUE,"",VLOOKUP(B28,Accuracy!$AD$7:$AQ$69,12,FALSE))</f>
        <v>0.97489539748953979</v>
      </c>
    </row>
    <row r="29" spans="2:13" x14ac:dyDescent="0.2">
      <c r="B29" s="112" t="str">
        <f>IF(ISBLANK(VLOOKUP($B$14,EDW_FEEDER!$A$117:$AK$121,16,FALSE))=TRUE,"",VLOOKUP($B$14,EDW_FEEDER!$A$117:$AK$121,16,FALSE))</f>
        <v>White River J.</v>
      </c>
      <c r="C29" s="250">
        <f>IF(ISNA(VLOOKUP($B29,EDW_FEEDER!$T$2:$AH$86,2,FALSE))=TRUE,"",VLOOKUP($B29,EDW_FEEDER!$T$2:$AH$86,2,FALSE))</f>
        <v>527</v>
      </c>
      <c r="D29" s="251">
        <f>IF(ISNA(VLOOKUP(B29,EDW_FEEDER!$T$2:$AH$86,3,FALSE))=TRUE,"",VLOOKUP(B29,EDW_FEEDER!$T$2:$AH$86,3,FALSE))</f>
        <v>124.4</v>
      </c>
      <c r="E29" s="252">
        <f>IF(ISNA(VLOOKUP(B29,EDW_FEEDER!$T$2:$AH$86,4,FALSE))=TRUE,"",VLOOKUP(B29,EDW_FEEDER!$T$2:$AH$870,4,FALSE))</f>
        <v>0.38519999999999999</v>
      </c>
      <c r="F29" s="250">
        <f>IF(ISNA(VLOOKUP(B29,EDW_FEEDER!$T$2:$AH$86,5,FALSE))=TRUE,"",VLOOKUP(B29,EDW_FEEDER!$T$2:$AH$86,5,FALSE))</f>
        <v>68</v>
      </c>
      <c r="G29" s="250">
        <f>IF(ISNA(VLOOKUP(B29,EDW_FEEDER!$T$2:$AH$86,6,FALSE))=TRUE,"",VLOOKUP(B29,EDW_FEEDER!$T$2:$AH$86,6,FALSE))</f>
        <v>816</v>
      </c>
      <c r="H29" s="251">
        <f>IF(ISNA(VLOOKUP(B29,EDW_FEEDER!$T$2:$AH$86,7,FALSE))=TRUE,"",VLOOKUP(B29,EDW_FEEDER!$T$2:$AH$86,7,FALSE))</f>
        <v>210.2</v>
      </c>
      <c r="I29" s="251">
        <f>IF(ISNA(VLOOKUP(B29,EDW_FEEDER!$T$2:$AH$86,8,FALSE))=TRUE,"",VLOOKUP(B29,EDW_FEEDER!$T$2:$AH$86,8,FALSE))</f>
        <v>176.4</v>
      </c>
      <c r="J29" s="252">
        <f>IF(ISNA(VLOOKUP(B29,Accuracy!$AD$7:$AQ$69,3,FALSE))=TRUE,"",VLOOKUP(B29,Accuracy!$AD$7:$AQ$69,3,FALSE))</f>
        <v>0.95510204081632655</v>
      </c>
      <c r="K29" s="252">
        <f>IF(ISNA(VLOOKUP(B29,Accuracy!$AD$7:$AQ$69,6,FALSE))=TRUE,"",VLOOKUP(B29,Accuracy!$AD$7:$AQ$69,6,FALSE))</f>
        <v>0.83636363636363642</v>
      </c>
      <c r="L29" s="252">
        <f>IF(ISNA(VLOOKUP(B29,Accuracy!$AD$7:$AQ$69,9,FALSE))=TRUE,"",VLOOKUP(B29,Accuracy!$AD$7:$AQ$69,9,FALSE))</f>
        <v>0.86497890295358648</v>
      </c>
      <c r="M29" s="252">
        <f>IF(ISNA(VLOOKUP(B29,Accuracy!$AD$7:$AQ$69,12,FALSE))=TRUE,"",VLOOKUP(B29,Accuracy!$AD$7:$AQ$69,12,FALSE))</f>
        <v>0.8347457627118644</v>
      </c>
    </row>
    <row r="30" spans="2:13" x14ac:dyDescent="0.2">
      <c r="B30" s="114" t="str">
        <f>IF(ISBLANK(VLOOKUP($B$14,EDW_FEEDER!$A$117:$AK$121,17,FALSE))=TRUE,"",VLOOKUP($B$14,EDW_FEEDER!$A$117:$AK$121,17,FALSE))</f>
        <v>Wilmington</v>
      </c>
      <c r="C30" s="250">
        <f>IF(ISNA(VLOOKUP($B30,EDW_FEEDER!$T$2:$AH$86,2,FALSE))=TRUE,"",VLOOKUP($B30,EDW_FEEDER!$T$2:$AH$86,2,FALSE))</f>
        <v>1116</v>
      </c>
      <c r="D30" s="251">
        <f>IF(ISNA(VLOOKUP(B30,EDW_FEEDER!$T$2:$AH$86,3,FALSE))=TRUE,"",VLOOKUP(B30,EDW_FEEDER!$T$2:$AH$86,3,FALSE))</f>
        <v>155.6</v>
      </c>
      <c r="E30" s="252">
        <f>IF(ISNA(VLOOKUP(B30,EDW_FEEDER!$T$2:$AH$86,4,FALSE))=TRUE,"",VLOOKUP(B30,EDW_FEEDER!$T$2:$AH$870,4,FALSE))</f>
        <v>0.48387000000000002</v>
      </c>
      <c r="F30" s="250">
        <f>IF(ISNA(VLOOKUP(B30,EDW_FEEDER!$T$2:$AH$86,5,FALSE))=TRUE,"",VLOOKUP(B30,EDW_FEEDER!$T$2:$AH$86,5,FALSE))</f>
        <v>160</v>
      </c>
      <c r="G30" s="250">
        <f>IF(ISNA(VLOOKUP(B30,EDW_FEEDER!$T$2:$AH$86,6,FALSE))=TRUE,"",VLOOKUP(B30,EDW_FEEDER!$T$2:$AH$86,6,FALSE))</f>
        <v>1458</v>
      </c>
      <c r="H30" s="251">
        <f>IF(ISNA(VLOOKUP(B30,EDW_FEEDER!$T$2:$AH$86,7,FALSE))=TRUE,"",VLOOKUP(B30,EDW_FEEDER!$T$2:$AH$86,7,FALSE))</f>
        <v>191.1</v>
      </c>
      <c r="I30" s="251">
        <f>IF(ISNA(VLOOKUP(B30,EDW_FEEDER!$T$2:$AH$86,8,FALSE))=TRUE,"",VLOOKUP(B30,EDW_FEEDER!$T$2:$AH$86,8,FALSE))</f>
        <v>225.5</v>
      </c>
      <c r="J30" s="252">
        <f>IF(ISNA(VLOOKUP(B30,Accuracy!$AD$7:$AQ$69,3,FALSE))=TRUE,"",VLOOKUP(B30,Accuracy!$AD$7:$AQ$69,3,FALSE))</f>
        <v>0.94273127753303965</v>
      </c>
      <c r="K30" s="252">
        <f>IF(ISNA(VLOOKUP(B30,Accuracy!$AD$7:$AQ$69,6,FALSE))=TRUE,"",VLOOKUP(B30,Accuracy!$AD$7:$AQ$69,6,FALSE))</f>
        <v>0.84905660377358494</v>
      </c>
      <c r="L30" s="252">
        <f>IF(ISNA(VLOOKUP(B30,Accuracy!$AD$7:$AQ$69,9,FALSE))=TRUE,"",VLOOKUP(B30,Accuracy!$AD$7:$AQ$69,9,FALSE))</f>
        <v>0.87916666666666665</v>
      </c>
      <c r="M30" s="252">
        <f>IF(ISNA(VLOOKUP(B30,Accuracy!$AD$7:$AQ$69,12,FALSE))=TRUE,"",VLOOKUP(B30,Accuracy!$AD$7:$AQ$69,12,FALSE))</f>
        <v>0.93457943925233644</v>
      </c>
    </row>
    <row r="31" spans="2:13" x14ac:dyDescent="0.2">
      <c r="B31" s="478" t="s">
        <v>297</v>
      </c>
      <c r="C31" s="479"/>
      <c r="D31" s="479"/>
      <c r="E31" s="479"/>
      <c r="F31" s="479"/>
      <c r="G31" s="479"/>
      <c r="H31" s="479"/>
      <c r="I31" s="479"/>
      <c r="J31" s="479"/>
      <c r="K31" s="479"/>
      <c r="L31" s="479"/>
      <c r="M31" s="480"/>
    </row>
    <row r="32" spans="2:13" x14ac:dyDescent="0.2">
      <c r="B32" s="212" t="s">
        <v>387</v>
      </c>
      <c r="C32" s="250">
        <f>IF(ISNA(VLOOKUP("USAP",EDW_FEEDER!$T$2:$AH$86,2,FALSE))=TRUE,"",VLOOKUP("USAP",EDW_FEEDER!$T$2:$AH$86,2,FALSE))</f>
        <v>20270</v>
      </c>
      <c r="D32" s="251">
        <f>IF(ISNA(VLOOKUP("USAP",EDW_FEEDER!$T$2:$AH$86,3,FALSE))=TRUE,"",VLOOKUP("USAP",EDW_FEEDER!$T$2:$AH$86,3,FALSE))</f>
        <v>56.9</v>
      </c>
      <c r="E32" s="252">
        <f>IF(ISNA(VLOOKUP("USAP",EDW_FEEDER!$T$2:$AH$86,4,FALSE))=TRUE,"",VLOOKUP("USAP",EDW_FEEDER!$T$2:$AH$870,4,FALSE))</f>
        <v>8.3129999999999996E-2</v>
      </c>
      <c r="F32" s="250">
        <f>IF(ISNA(VLOOKUP("USAP",EDW_FEEDER!$T$2:$AH$86,5,FALSE))=TRUE,"",VLOOKUP("USAP",EDW_FEEDER!$T$2:$AH$86,5,FALSE))</f>
        <v>7162</v>
      </c>
      <c r="G32" s="250">
        <f>IF(ISNA(VLOOKUP("USAP",EDW_FEEDER!$T$2:$AH$86,6,FALSE))=TRUE,"",VLOOKUP("USAP",EDW_FEEDER!$T$2:$AH$86,6,FALSE))</f>
        <v>83018</v>
      </c>
      <c r="H32" s="251">
        <f>IF(ISNA(VLOOKUP("USAP",EDW_FEEDER!$T$2:$AH$86,7,FALSE))=TRUE,"",VLOOKUP("USAP",EDW_FEEDER!$T$2:$AH$86,7,FALSE))</f>
        <v>62</v>
      </c>
      <c r="I32" s="251">
        <f>IF(ISNA(VLOOKUP("USAP",EDW_FEEDER!$T$2:$AH$86,8,FALSE))=TRUE,"",VLOOKUP("USAP",EDW_FEEDER!$T$2:$AH$86,8,FALSE))</f>
        <v>64.900000000000006</v>
      </c>
      <c r="J32" s="253"/>
      <c r="K32" s="252">
        <f>IF(ISNA(VLOOKUP("USA PMCs",Accuracy!$AD$70:$AQ$73,6,FALSE))=TRUE,"",VLOOKUP("USA PMCs",Accuracy!$AD$70:$AQ$73,6,FALSE))</f>
        <v>0.94169999999999998</v>
      </c>
      <c r="L32" s="252">
        <f>IF(ISNA(VLOOKUP("USA PMCs",Accuracy!$AD$70:$AQ$73,9,FALSE))=TRUE,"",VLOOKUP("USA PMCs",Accuracy!$AD$70:$AQ$73,9,FALSE))</f>
        <v>0.98829999999999996</v>
      </c>
      <c r="M32" s="282">
        <f>IF(ISNA(VLOOKUP("USA PMCs",Accuracy!$AD$70:$AQ$73,12,FALSE))=TRUE,"",VLOOKUP("USA PMCs",Accuracy!$AD$70:$AQ$73,12,FALSE))</f>
        <v>0.99409999999999998</v>
      </c>
    </row>
    <row r="33" spans="1:16" x14ac:dyDescent="0.2">
      <c r="B33" s="116" t="s">
        <v>245</v>
      </c>
      <c r="C33" s="250">
        <f>IF(ISNA(VLOOKUP($B33,EDW_FEEDER!$T$2:$AH$86,2,FALSE))=TRUE,"",VLOOKUP($B33,EDW_FEEDER!$T$2:$AH$86,2,FALSE))</f>
        <v>7479</v>
      </c>
      <c r="D33" s="251">
        <f>IF(ISNA(VLOOKUP(B33,EDW_FEEDER!$T$2:$AH$86,3,FALSE))=TRUE,"",VLOOKUP(B33,EDW_FEEDER!$T$2:$AH$86,3,FALSE))</f>
        <v>60.8</v>
      </c>
      <c r="E33" s="252">
        <f>IF(ISNA(VLOOKUP(B33,EDW_FEEDER!$T$2:$AH$86,4,FALSE))=TRUE,"",VLOOKUP(B33,EDW_FEEDER!$T$2:$AH$870,4,FALSE))</f>
        <v>0.10001</v>
      </c>
      <c r="F33" s="250">
        <f>IF(ISNA(VLOOKUP(B33,EDW_FEEDER!$T$2:$AH$86,5,FALSE))=TRUE,"",VLOOKUP(B33,EDW_FEEDER!$T$2:$AH$86,5,FALSE))</f>
        <v>1800</v>
      </c>
      <c r="G33" s="250">
        <f>IF(ISNA(VLOOKUP(B33,EDW_FEEDER!$T$2:$AH$86,6,FALSE))=TRUE,"",VLOOKUP(B33,EDW_FEEDER!$T$2:$AH$86,6,FALSE))</f>
        <v>25676</v>
      </c>
      <c r="H33" s="251">
        <f>IF(ISNA(VLOOKUP(B33,EDW_FEEDER!$T$2:$AH$86,7,FALSE))=TRUE,"",VLOOKUP(B33,EDW_FEEDER!$T$2:$AH$86,7,FALSE))</f>
        <v>71.5</v>
      </c>
      <c r="I33" s="251">
        <f>IF(ISNA(VLOOKUP(B33,EDW_FEEDER!$T$2:$AH$86,8,FALSE))=TRUE,"",VLOOKUP(B33,EDW_FEEDER!$T$2:$AH$86,8,FALSE))</f>
        <v>73.2</v>
      </c>
      <c r="J33" s="253"/>
      <c r="K33" s="252">
        <f>IF(ISNA(VLOOKUP(B33,Accuracy!$AD$70:$AQ$73,6,FALSE))=TRUE,"",VLOOKUP(B33,Accuracy!$AD$70:$AQ$73,6,FALSE))</f>
        <v>0.97499999999999998</v>
      </c>
      <c r="L33" s="252">
        <f>IF(ISNA(VLOOKUP(B33,Accuracy!$AD$70:$AQ$73,9,FALSE))=TRUE,"",VLOOKUP(B33,Accuracy!$AD$70:$AQ$73,9,FALSE))</f>
        <v>0.99119999999999997</v>
      </c>
      <c r="M33" s="282">
        <f>IF(ISNA(VLOOKUP(B33,Accuracy!$AD$70:$AQ$73,12,FALSE))=TRUE,"",VLOOKUP(B33,Accuracy!$AD$70:$AQ$73,12,FALSE))</f>
        <v>0.98650000000000004</v>
      </c>
    </row>
    <row r="34" spans="1:16" x14ac:dyDescent="0.2">
      <c r="A34" s="16"/>
      <c r="B34" s="116" t="s">
        <v>243</v>
      </c>
      <c r="C34" s="250">
        <f>IF(ISNA(VLOOKUP($B34,EDW_FEEDER!$T$2:$AH$86,2,FALSE))=TRUE,"",VLOOKUP($B34,EDW_FEEDER!$T$2:$AH$86,2,FALSE))</f>
        <v>4902</v>
      </c>
      <c r="D34" s="251">
        <f>IF(ISNA(VLOOKUP(B34,EDW_FEEDER!$T$2:$AH$86,3,FALSE))=TRUE,"",VLOOKUP(B34,EDW_FEEDER!$T$2:$AH$86,3,FALSE))</f>
        <v>47.1</v>
      </c>
      <c r="E34" s="252">
        <f>IF(ISNA(VLOOKUP(B34,EDW_FEEDER!$T$2:$AH$86,4,FALSE))=TRUE,"",VLOOKUP(B34,EDW_FEEDER!$T$2:$AH$870,4,FALSE))</f>
        <v>6.2219999999999998E-2</v>
      </c>
      <c r="F34" s="250">
        <f>IF(ISNA(VLOOKUP(B34,EDW_FEEDER!$T$2:$AH$86,5,FALSE))=TRUE,"",VLOOKUP(B34,EDW_FEEDER!$T$2:$AH$86,5,FALSE))</f>
        <v>2074</v>
      </c>
      <c r="G34" s="250">
        <f>IF(ISNA(VLOOKUP(B34,EDW_FEEDER!$T$2:$AH$86,6,FALSE))=TRUE,"",VLOOKUP(B34,EDW_FEEDER!$T$2:$AH$86,6,FALSE))</f>
        <v>23282</v>
      </c>
      <c r="H34" s="251">
        <f>IF(ISNA(VLOOKUP(B34,EDW_FEEDER!$T$2:$AH$86,7,FALSE))=TRUE,"",VLOOKUP(B34,EDW_FEEDER!$T$2:$AH$86,7,FALSE))</f>
        <v>52.5</v>
      </c>
      <c r="I34" s="251">
        <f>IF(ISNA(VLOOKUP(B34,EDW_FEEDER!$T$2:$AH$86,8,FALSE))=TRUE,"",VLOOKUP(B34,EDW_FEEDER!$T$2:$AH$86,8,FALSE))</f>
        <v>56.5</v>
      </c>
      <c r="J34" s="253"/>
      <c r="K34" s="252">
        <f>IF(ISNA(VLOOKUP(B34,Accuracy!$AD$70:$AQ$73,6,FALSE))=TRUE,"",VLOOKUP(B34,Accuracy!$AD$70:$AQ$73,6,FALSE))</f>
        <v>0.90239999999999998</v>
      </c>
      <c r="L34" s="252">
        <f>IF(ISNA(VLOOKUP(B34,Accuracy!$AD$70:$AQ$73,9,FALSE))=TRUE,"",VLOOKUP(B34,Accuracy!$AD$70:$AQ$73,9,FALSE))</f>
        <v>0.98250000000000004</v>
      </c>
      <c r="M34" s="282">
        <f>IF(ISNA(VLOOKUP(B34,Accuracy!$AD$70:$AQ$73,12,FALSE))=TRUE,"",VLOOKUP(B34,Accuracy!$AD$70:$AQ$73,12,FALSE))</f>
        <v>0.99560000000000004</v>
      </c>
    </row>
    <row r="35" spans="1:16" x14ac:dyDescent="0.2">
      <c r="B35" s="116" t="s">
        <v>251</v>
      </c>
      <c r="C35" s="250">
        <f>IF(ISNA(VLOOKUP($B35,EDW_FEEDER!$T$2:$AH$86,2,FALSE))=TRUE,"",VLOOKUP($B35,EDW_FEEDER!$T$2:$AH$86,2,FALSE))</f>
        <v>7336</v>
      </c>
      <c r="D35" s="251">
        <f>IF(ISNA(VLOOKUP(B35,EDW_FEEDER!$T$2:$AH$86,3,FALSE))=TRUE,"",VLOOKUP(B35,EDW_FEEDER!$T$2:$AH$86,3,FALSE))</f>
        <v>50.4</v>
      </c>
      <c r="E35" s="252">
        <f>IF(ISNA(VLOOKUP(B35,EDW_FEEDER!$T$2:$AH$86,4,FALSE))=TRUE,"",VLOOKUP(B35,EDW_FEEDER!$T$2:$AH$870,4,FALSE))</f>
        <v>4.4979999999999999E-2</v>
      </c>
      <c r="F35" s="250">
        <f>IF(ISNA(VLOOKUP(B35,EDW_FEEDER!$T$2:$AH$86,5,FALSE))=TRUE,"",VLOOKUP(B35,EDW_FEEDER!$T$2:$AH$86,5,FALSE))</f>
        <v>3008</v>
      </c>
      <c r="G35" s="250">
        <f>IF(ISNA(VLOOKUP(B35,EDW_FEEDER!$T$2:$AH$86,6,FALSE))=TRUE,"",VLOOKUP(B35,EDW_FEEDER!$T$2:$AH$86,6,FALSE))</f>
        <v>30764</v>
      </c>
      <c r="H35" s="251">
        <f>IF(ISNA(VLOOKUP(B35,EDW_FEEDER!$T$2:$AH$86,7,FALSE))=TRUE,"",VLOOKUP(B35,EDW_FEEDER!$T$2:$AH$86,7,FALSE))</f>
        <v>60.9</v>
      </c>
      <c r="I35" s="251">
        <f>IF(ISNA(VLOOKUP(B35,EDW_FEEDER!$T$2:$AH$86,8,FALSE))=TRUE,"",VLOOKUP(B35,EDW_FEEDER!$T$2:$AH$86,8,FALSE))</f>
        <v>64.3</v>
      </c>
      <c r="J35" s="253"/>
      <c r="K35" s="252">
        <f>IF(ISNA(VLOOKUP(B35,Accuracy!$AD$70:$AQ$73,6,FALSE))=TRUE,"",VLOOKUP(B35,Accuracy!$AD$70:$AQ$73,6,FALSE))</f>
        <v>0.94869999999999999</v>
      </c>
      <c r="L35" s="252">
        <f>IF(ISNA(VLOOKUP(B35,Accuracy!$AD$70:$AQ$73,9,FALSE))=TRUE,"",VLOOKUP(B35,Accuracy!$AD$70:$AQ$73,9,FALSE))</f>
        <v>0.99129999999999996</v>
      </c>
      <c r="M35" s="282">
        <f>IF(ISNA(VLOOKUP(B35,Accuracy!$AD$70:$AQ$73,12,FALSE))=TRUE,"",VLOOKUP(B35,Accuracy!$AD$70:$AQ$73,12,FALSE))</f>
        <v>1</v>
      </c>
    </row>
    <row r="36" spans="1:16" x14ac:dyDescent="0.2">
      <c r="B36" s="117" t="s">
        <v>433</v>
      </c>
      <c r="C36" s="250">
        <f>IF(ISNA(VLOOKUP($B36,EDW_FEEDER!$T$2:$AH$86,2,FALSE))=TRUE,"",VLOOKUP($B36,EDW_FEEDER!$T$2:$AH$86,2,FALSE))</f>
        <v>553</v>
      </c>
      <c r="D36" s="251">
        <f>IF(ISNA(VLOOKUP(B36,EDW_FEEDER!$T$2:$AH$86,3,FALSE))=TRUE,"",VLOOKUP(B36,EDW_FEEDER!$T$2:$AH$86,3,FALSE))</f>
        <v>177.1</v>
      </c>
      <c r="E36" s="252">
        <f>IF(ISNA(VLOOKUP(B36,EDW_FEEDER!$T$2:$AH$86,4,FALSE))=TRUE,"",VLOOKUP(B36,EDW_FEEDER!$T$2:$AH$870,4,FALSE))</f>
        <v>0.54610999999999998</v>
      </c>
      <c r="F36" s="250">
        <f>IF(ISNA(VLOOKUP(B36,EDW_FEEDER!$T$2:$AH$86,5,FALSE))=TRUE,"",VLOOKUP(B36,EDW_FEEDER!$T$2:$AH$86,5,FALSE))</f>
        <v>280</v>
      </c>
      <c r="G36" s="250">
        <f>IF(ISNA(VLOOKUP(B36,EDW_FEEDER!$T$2:$AH$86,6,FALSE))=TRUE,"",VLOOKUP(B36,EDW_FEEDER!$T$2:$AH$86,6,FALSE))</f>
        <v>3296</v>
      </c>
      <c r="H36" s="251">
        <f>IF(ISNA(VLOOKUP(B36,EDW_FEEDER!$T$2:$AH$86,7,FALSE))=TRUE,"",VLOOKUP(B36,EDW_FEEDER!$T$2:$AH$86,7,FALSE))</f>
        <v>83.2</v>
      </c>
      <c r="I36" s="251">
        <f>IF(ISNA(VLOOKUP(B36,EDW_FEEDER!$T$2:$AH$86,8,FALSE))=TRUE,"",VLOOKUP(B36,EDW_FEEDER!$T$2:$AH$86,8,FALSE))</f>
        <v>65.8</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78" t="s">
        <v>298</v>
      </c>
      <c r="C37" s="481"/>
      <c r="D37" s="481"/>
      <c r="E37" s="481"/>
      <c r="F37" s="481"/>
      <c r="G37" s="481"/>
      <c r="H37" s="481"/>
      <c r="I37" s="481"/>
      <c r="J37" s="481"/>
      <c r="K37" s="481"/>
      <c r="L37" s="481"/>
      <c r="M37" s="482"/>
    </row>
    <row r="38" spans="1:16" x14ac:dyDescent="0.2">
      <c r="B38" s="214" t="s">
        <v>388</v>
      </c>
      <c r="C38" s="250">
        <f>IF(ISNA(VLOOKUP("USAQ",EDW_FEEDER!$T$2:$AH$86,2,FALSE))=TRUE,"",VLOOKUP("USAQ",EDW_FEEDER!$T$2:$AH$86,2,FALSE))</f>
        <v>8153</v>
      </c>
      <c r="D38" s="251">
        <f>IF(ISNA(VLOOKUP("USAQ",EDW_FEEDER!$T$2:$AH$86,3,FALSE))=TRUE,"",VLOOKUP("USAQ",EDW_FEEDER!$T$2:$AH$86,3,FALSE))</f>
        <v>82.7</v>
      </c>
      <c r="E38" s="252">
        <f>IF(ISNA(VLOOKUP("USAQ",EDW_FEEDER!$T$2:$AH$86,4,FALSE))=TRUE,"",VLOOKUP("USAQ",EDW_FEEDER!$T$2:$AH$86,4,FALSE))</f>
        <v>0.20618</v>
      </c>
      <c r="F38" s="250">
        <f>IF(ISNA(VLOOKUP("USAQ",EDW_FEEDER!$T$2:$AH$86,5,FALSE))=TRUE,"",VLOOKUP("USAQ",EDW_FEEDER!$T$2:$AH$86,5,FALSE))</f>
        <v>1435</v>
      </c>
      <c r="G38" s="250">
        <f>IF(ISNA(VLOOKUP("USAQ",EDW_FEEDER!$T$2:$AH$86,6,FALSE))=TRUE,"",VLOOKUP("USAQ",EDW_FEEDER!$T$2:$AH$86,6,FALSE))</f>
        <v>14491</v>
      </c>
      <c r="H38" s="251">
        <f>IF(ISNA(VLOOKUP("USAQ",EDW_FEEDER!$T$2:$AH$86,7,FALSE))=TRUE,"",VLOOKUP("USAQ",EDW_FEEDER!$T$2:$AH$86,7,FALSE))</f>
        <v>139.69999999999999</v>
      </c>
      <c r="I38" s="251">
        <f>IF(ISNA(VLOOKUP("USAQ",EDW_FEEDER!$T$2:$AH$86,8,FALSE))=TRUE,"",VLOOKUP("USAQ",EDW_FEEDER!$T$2:$AH$86,8,FALSE))</f>
        <v>136.6</v>
      </c>
      <c r="J38" s="253"/>
      <c r="K38" s="253"/>
      <c r="L38" s="253"/>
      <c r="M38" s="253"/>
    </row>
    <row r="39" spans="1:16" x14ac:dyDescent="0.2">
      <c r="B39" s="213" t="s">
        <v>85</v>
      </c>
      <c r="C39" s="250">
        <f>IF(ISNA(VLOOKUP("San Diego QS",EDW_FEEDER!$T$2:$AH$86,2,FALSE))=TRUE,"",VLOOKUP("San Diego QS",EDW_FEEDER!$T$2:$AH$86,2,FALSE))</f>
        <v>2784</v>
      </c>
      <c r="D39" s="251">
        <f>IF(ISNA(VLOOKUP("San Diego QS",EDW_FEEDER!$T$2:$AH$86,3,FALSE))=TRUE,"",VLOOKUP("San Diego QS",EDW_FEEDER!$T$2:$AH$86,3,FALSE))</f>
        <v>80.900000000000006</v>
      </c>
      <c r="E39" s="252">
        <f>IF(ISNA(VLOOKUP("San Diego QS",EDW_FEEDER!$T$2:$AH$86,4,FALSE))=TRUE,"",VLOOKUP("San Diego QS",EDW_FEEDER!$T$2:$AH$86,4,FALSE))</f>
        <v>0.19109000000000001</v>
      </c>
      <c r="F39" s="250">
        <f>IF(ISNA(VLOOKUP("San Diego QS",EDW_FEEDER!$T$2:$AH$86,5,FALSE))=TRUE,"",VLOOKUP("San Diego QS",EDW_FEEDER!$T$2:$AH$86,5,FALSE))</f>
        <v>549</v>
      </c>
      <c r="G39" s="250">
        <f>IF(ISNA(VLOOKUP("San Diego QS",EDW_FEEDER!$T$2:$AH$86,6,FALSE))=TRUE,"",VLOOKUP("San Diego QS",EDW_FEEDER!$T$2:$AH$86,6,FALSE))</f>
        <v>6116</v>
      </c>
      <c r="H39" s="251">
        <f>IF(ISNA(VLOOKUP("San Diego QS",EDW_FEEDER!$T$2:$AH$86,7,FALSE))=TRUE,"",VLOOKUP("San Diego QS",EDW_FEEDER!$T$2:$AH$86,7,FALSE))</f>
        <v>120.1</v>
      </c>
      <c r="I39" s="251">
        <f>IF(ISNA(VLOOKUP("San Diego QS",EDW_FEEDER!$T$2:$AH$86,8,FALSE))=TRUE,"",VLOOKUP("San Diego QS",EDW_FEEDER!$T$2:$AH$86,8,FALSE))</f>
        <v>122.3</v>
      </c>
      <c r="J39" s="253"/>
      <c r="K39" s="253"/>
      <c r="L39" s="253"/>
      <c r="M39" s="253"/>
      <c r="N39" s="49"/>
      <c r="O39" s="49"/>
      <c r="P39" s="49"/>
    </row>
    <row r="40" spans="1:16" x14ac:dyDescent="0.2">
      <c r="B40" s="213" t="s">
        <v>97</v>
      </c>
      <c r="C40" s="250">
        <f>IF(ISNA(VLOOKUP("Winston-Salem QS",EDW_FEEDER!$T$2:$AH$86,2,FALSE))=TRUE,"",VLOOKUP("Winston-Salem QS",EDW_FEEDER!$T$2:$AH$86,2,FALSE))</f>
        <v>3312</v>
      </c>
      <c r="D40" s="251">
        <f>IF(ISNA(VLOOKUP("Winston-Salem QS",EDW_FEEDER!$T$2:$AH$86,3,FALSE))=TRUE,"",VLOOKUP("Winston-Salem QS",EDW_FEEDER!$T$2:$AH$86,3,FALSE))</f>
        <v>96.8</v>
      </c>
      <c r="E40" s="252">
        <f>IF(ISNA(VLOOKUP("Winston-Salem QS",EDW_FEEDER!$T$2:$AH$86,4,FALSE))=TRUE,"",VLOOKUP("Winston-Salem QS",EDW_FEEDER!$T$2:$AH$86,4,FALSE))</f>
        <v>0.27566000000000002</v>
      </c>
      <c r="F40" s="250">
        <f>IF(ISNA(VLOOKUP("Winston-Salem QS",EDW_FEEDER!$T$2:$AH$86,5,FALSE))=TRUE,"",VLOOKUP("Winston-Salem QS",EDW_FEEDER!$T$2:$AH$86,5,FALSE))</f>
        <v>653</v>
      </c>
      <c r="G40" s="250">
        <f>IF(ISNA(VLOOKUP("Winston-Salem QS",EDW_FEEDER!$T$2:$AH$86,6,FALSE))=TRUE,"",VLOOKUP("Winston-Salem QS",EDW_FEEDER!$T$2:$AH$86,6,FALSE))</f>
        <v>6460</v>
      </c>
      <c r="H40" s="251">
        <f>IF(ISNA(VLOOKUP("Winston-Salem QS",EDW_FEEDER!$T$2:$AH$86,7,FALSE))=TRUE,"",VLOOKUP("Winston-Salem QS",EDW_FEEDER!$T$2:$AH$870,7,FALSE))</f>
        <v>163.19999999999999</v>
      </c>
      <c r="I40" s="251">
        <f>IF(ISNA(VLOOKUP("Winston-Salem QS",EDW_FEEDER!$T$2:$AH$86,8,FALSE))=TRUE,"",VLOOKUP("Winston-Salem QS",EDW_FEEDER!$T$2:$AH$86,8,FALSE))</f>
        <v>151.5</v>
      </c>
      <c r="J40" s="253"/>
      <c r="K40" s="253"/>
      <c r="L40" s="253"/>
      <c r="M40" s="253"/>
      <c r="N40" s="87"/>
      <c r="O40" s="88"/>
      <c r="P40" s="88"/>
    </row>
    <row r="41" spans="1:16" x14ac:dyDescent="0.2">
      <c r="B41" s="115" t="s">
        <v>432</v>
      </c>
      <c r="C41" s="250">
        <f>IF(ISNA(VLOOKUP(B41,EDW_FEEDER!$T$2:$AH$86,2,FALSE))=TRUE,"",VLOOKUP(B41,EDW_FEEDER!$T$2:$AH$86,2,FALSE))</f>
        <v>2057</v>
      </c>
      <c r="D41" s="251">
        <f>IF(ISNA(VLOOKUP(B41,EDW_FEEDER!$T$2:$AH$86,3,FALSE))=TRUE,"",VLOOKUP(B41,EDW_FEEDER!$T$2:$AH$86,3,FALSE))</f>
        <v>62.5</v>
      </c>
      <c r="E41" s="252">
        <f>IF(ISNA(VLOOKUP(B41,EDW_FEEDER!$T$2:$AH$86,4,FALSE))=TRUE,"",VLOOKUP(B41,EDW_FEEDER!$T$2:$AH$86,4,FALSE))</f>
        <v>0.11473</v>
      </c>
      <c r="F41" s="250">
        <f>IF(ISNA(VLOOKUP(B41,EDW_FEEDER!$T$2:$AH$86,5,FALSE))=TRUE,"",VLOOKUP(B41,EDW_FEEDER!$T$2:$AH$86,5,FALSE))</f>
        <v>233</v>
      </c>
      <c r="G41" s="250">
        <f>IF(ISNA(VLOOKUP(B41,EDW_FEEDER!$T$2:$AH$86,6,FALSE))=TRUE,"",VLOOKUP(B41,EDW_FEEDER!$T$2:$AH$86,6,FALSE))</f>
        <v>1915</v>
      </c>
      <c r="H41" s="251">
        <f>IF(ISNA(VLOOKUP(B41,EDW_FEEDER!$T$2:$AH$86,7,FALSE))=TRUE,"",VLOOKUP(B41,EDW_FEEDER!$T$2:$AH$870,7,FALSE))</f>
        <v>120.2</v>
      </c>
      <c r="I41" s="251">
        <f>IF(ISNA(VLOOKUP(B41,EDW_FEEDER!$T$2:$AH$86,8,FALSE))=TRUE,"",VLOOKUP(B41,EDW_FEEDER!$T$2:$AH$86,8,FALSE))</f>
        <v>132</v>
      </c>
      <c r="J41" s="253"/>
      <c r="K41" s="253"/>
      <c r="L41" s="253"/>
      <c r="M41" s="253"/>
      <c r="N41" s="87"/>
      <c r="O41" s="88"/>
      <c r="P41" s="88"/>
    </row>
    <row r="42" spans="1:16" x14ac:dyDescent="0.2">
      <c r="B42" s="478" t="s">
        <v>299</v>
      </c>
      <c r="C42" s="481"/>
      <c r="D42" s="481"/>
      <c r="E42" s="481"/>
      <c r="F42" s="481"/>
      <c r="G42" s="481"/>
      <c r="H42" s="481"/>
      <c r="I42" s="481"/>
      <c r="J42" s="481"/>
      <c r="K42" s="481"/>
      <c r="L42" s="481"/>
      <c r="M42" s="482"/>
      <c r="N42" s="87"/>
      <c r="O42" s="88"/>
      <c r="P42" s="88"/>
    </row>
    <row r="43" spans="1:16" ht="25.5" x14ac:dyDescent="0.2">
      <c r="B43" s="214" t="s">
        <v>398</v>
      </c>
      <c r="C43" s="250">
        <f>IF(ISNA(VLOOKUP("USAB",EDW_FEEDER!$T$2:$AH$86,2,FALSE))=TRUE,"",VLOOKUP("USAB",EDW_FEEDER!$T$2:$AH$86,2,FALSE))</f>
        <v>9233</v>
      </c>
      <c r="D43" s="251">
        <f>IF(ISNA(VLOOKUP("USAB",EDW_FEEDER!$T$2:$AH$86,3,FALSE))=TRUE,"",VLOOKUP("USAB",EDW_FEEDER!$T$2:$AH$86,3,FALSE))</f>
        <v>87.6</v>
      </c>
      <c r="E43" s="252">
        <f>IF(ISNA(VLOOKUP("USAB",EDW_FEEDER!$T$2:$AH$86,4,FALSE))=TRUE,"",VLOOKUP("USAB",EDW_FEEDER!$T$2:$AH$86,4,FALSE))</f>
        <v>0.21748000000000001</v>
      </c>
      <c r="F43" s="250">
        <f>IF(ISNA(VLOOKUP("USAB",EDW_FEEDER!$T$2:$AH$86,5,FALSE))=TRUE,"",VLOOKUP("USAB",EDW_FEEDER!$T$2:$AH$86,5,FALSE))</f>
        <v>1475</v>
      </c>
      <c r="G43" s="250">
        <f>IF(ISNA(VLOOKUP("USAB",EDW_FEEDER!$T$2:$AH$86,6,FALSE))=TRUE,"",VLOOKUP("USAB",EDW_FEEDER!$T$2:$AH$870,6,FALSE))</f>
        <v>14212</v>
      </c>
      <c r="H43" s="251">
        <f>IF(ISNA(VLOOKUP("USAB",EDW_FEEDER!$T$2:$AH$86,7,FALSE))=TRUE,"",VLOOKUP("USAB",EDW_FEEDER!$T$2:$AH$86,7,FALSE))</f>
        <v>163.5</v>
      </c>
      <c r="I43" s="251">
        <f>IF(ISNA(VLOOKUP("USAB",EDW_FEEDER!$T$2:$AH$86,8,FALSE))=TRUE,"",VLOOKUP("USAB",EDW_FEEDER!$T$2:$AH$86,8,FALSE))</f>
        <v>156.69999999999999</v>
      </c>
      <c r="J43" s="253"/>
      <c r="K43" s="253"/>
      <c r="L43" s="253"/>
      <c r="M43" s="253"/>
      <c r="N43" s="87"/>
      <c r="O43" s="88"/>
      <c r="P43" s="88"/>
    </row>
    <row r="44" spans="1:16" x14ac:dyDescent="0.2">
      <c r="B44" s="213" t="s">
        <v>97</v>
      </c>
      <c r="C44" s="250">
        <f>IF(ISNA(VLOOKUP("Winston-Salem BDD",EDW_FEEDER!$T$2:$AH$86,2,FALSE))=TRUE,"",VLOOKUP("Winston-Salem BDD",EDW_FEEDER!$T$2:$AH$86,2,FALSE))</f>
        <v>3780</v>
      </c>
      <c r="D44" s="251">
        <f>IF(ISNA(VLOOKUP("Winston-Salem BDD",EDW_FEEDER!$T$2:$AH$86,3,FALSE))=TRUE,"",VLOOKUP("Winston-Salem BDD",EDW_FEEDER!$T$2:$AH$86,3,FALSE))</f>
        <v>85.4</v>
      </c>
      <c r="E44" s="252">
        <f>IF(ISNA(VLOOKUP("Winston-Salem BDD",EDW_FEEDER!$T$2:$AH$86,4,FALSE))=TRUE,"",VLOOKUP("Winston-Salem BDD",EDW_FEEDER!$T$2:$AH$86,4,FALSE))</f>
        <v>0.18995000000000001</v>
      </c>
      <c r="F44" s="250">
        <f>IF(ISNA(VLOOKUP("Winston-Salem BDD",EDW_FEEDER!$T$2:$AH$86,5,FALSE))=TRUE,"",VLOOKUP("Winston-Salem BDD",EDW_FEEDER!$T$2:$AH$86,5,FALSE))</f>
        <v>566</v>
      </c>
      <c r="G44" s="250">
        <f>IF(ISNA(VLOOKUP("Winston-Salem BDD",EDW_FEEDER!$T$2:$AH$86,6,FALSE))=TRUE,"",VLOOKUP("Winston-Salem BDD",EDW_FEEDER!$T$2:$AH$870,6,FALSE))</f>
        <v>5253</v>
      </c>
      <c r="H44" s="251">
        <f>IF(ISNA(VLOOKUP("Winston-Salem BDD",EDW_FEEDER!$T$2:$AH$86,7,FALSE))=TRUE,"",VLOOKUP("Winston-Salem BDD",EDW_FEEDER!$T$2:$AH$86,7,FALSE))</f>
        <v>156.80000000000001</v>
      </c>
      <c r="I44" s="251">
        <f>IF(ISNA(VLOOKUP("Winston-Salem BDD",EDW_FEEDER!$T$2:$AH$86,8,FALSE))=TRUE,"",VLOOKUP("Winston-Salem BDD",EDW_FEEDER!$T$2:$AH$86,8,FALSE))</f>
        <v>121.8</v>
      </c>
      <c r="J44" s="253"/>
      <c r="K44" s="253"/>
      <c r="L44" s="253"/>
      <c r="M44" s="253"/>
    </row>
    <row r="45" spans="1:16" x14ac:dyDescent="0.2">
      <c r="B45" s="213" t="s">
        <v>84</v>
      </c>
      <c r="C45" s="250">
        <f>IF(ISNA(VLOOKUP("Salt Lake City BDD",EDW_FEEDER!$T$2:$AH$86,2,FALSE))=TRUE,"",VLOOKUP("Salt Lake City BDD",EDW_FEEDER!$T$2:$AH$86,2,FALSE))</f>
        <v>3931</v>
      </c>
      <c r="D45" s="251">
        <f>IF(ISNA(VLOOKUP("Salt Lake City BDD",EDW_FEEDER!$T$2:$AH$86,3,FALSE))=TRUE,"",VLOOKUP("Salt Lake City BDD",EDW_FEEDER!$T$2:$AH$86,3,FALSE))</f>
        <v>94.4</v>
      </c>
      <c r="E45" s="252">
        <f>IF(ISNA(VLOOKUP("Salt Lake City BDD",EDW_FEEDER!$T$2:$AH$86,4,FALSE))=TRUE,"",VLOOKUP("Salt Lake City BDD",EDW_FEEDER!$T$2:$AH$86,4,FALSE))</f>
        <v>0.26379999999999998</v>
      </c>
      <c r="F45" s="250">
        <f>IF(ISNA(VLOOKUP("Salt Lake City BDD",EDW_FEEDER!$T$2:$AH$86,5,FALSE))=TRUE,"",VLOOKUP("Salt Lake City BDD",EDW_FEEDER!$T$2:$AH$86,5,FALSE))</f>
        <v>798</v>
      </c>
      <c r="G45" s="250">
        <f>IF(ISNA(VLOOKUP("Salt Lake City BDD",EDW_FEEDER!$T$2:$AH$86,6,FALSE))=TRUE,"",VLOOKUP("Salt Lake City BDD",EDW_FEEDER!$T$2:$AH$86,6,FALSE))</f>
        <v>7708</v>
      </c>
      <c r="H45" s="251">
        <f>IF(ISNA(VLOOKUP("Salt Lake City BDD",EDW_FEEDER!$T$2:$AH$86,7,FALSE))=TRUE,"",VLOOKUP("Salt Lake City BDD",EDW_FEEDER!$T$2:$AH$870,7,FALSE))</f>
        <v>171.5</v>
      </c>
      <c r="I45" s="251">
        <f>IF(ISNA(VLOOKUP("Salt Lake City BDD",EDW_FEEDER!$T$2:$AH$86,8,FALSE))=TRUE,"",VLOOKUP("Salt Lake City BDD",EDW_FEEDER!$T$2:$AH$86,8,FALSE))</f>
        <v>181.1</v>
      </c>
      <c r="J45" s="253"/>
      <c r="K45" s="253"/>
      <c r="L45" s="253"/>
      <c r="M45" s="253"/>
    </row>
    <row r="46" spans="1:16" x14ac:dyDescent="0.2">
      <c r="B46" s="115" t="s">
        <v>434</v>
      </c>
      <c r="C46" s="250">
        <f>IF(ISNA(VLOOKUP(B46,EDW_FEEDER!$T$2:$AH$86,2,FALSE))=TRUE,"",VLOOKUP(B46,EDW_FEEDER!$T$2:$AH$86,2,FALSE))</f>
        <v>1522</v>
      </c>
      <c r="D46" s="251">
        <f>IF(ISNA(VLOOKUP(B46,EDW_FEEDER!$T$2:$AH$86,3,FALSE))=TRUE,"",VLOOKUP(B46,EDW_FEEDER!$T$2:$AH$86,3,FALSE))</f>
        <v>75.099999999999994</v>
      </c>
      <c r="E46" s="252">
        <f>IF(ISNA(VLOOKUP(B46,EDW_FEEDER!$T$2:$AH$86,4,FALSE))=TRUE,"",VLOOKUP(B46,EDW_FEEDER!$T$2:$AH$86,4,FALSE))</f>
        <v>0.16622999999999999</v>
      </c>
      <c r="F46" s="250">
        <f>IF(ISNA(VLOOKUP(B46,EDW_FEEDER!$T$2:$AH$86,5,FALSE))=TRUE,"",VLOOKUP(B46,EDW_FEEDER!$T$2:$AH$86,5,FALSE))</f>
        <v>111</v>
      </c>
      <c r="G46" s="250">
        <f>IF(ISNA(VLOOKUP(B46,EDW_FEEDER!$T$2:$AH$86,6,FALSE))=TRUE,"",VLOOKUP(B46,EDW_FEEDER!$T$2:$AH$86,6,FALSE))</f>
        <v>1251</v>
      </c>
      <c r="H46" s="251">
        <f>IF(ISNA(VLOOKUP(B46,EDW_FEEDER!$T$2:$AH$86,7,FALSE))=TRUE,"",VLOOKUP(B46,EDW_FEEDER!$T$2:$AH$870,7,FALSE))</f>
        <v>140.19999999999999</v>
      </c>
      <c r="I46" s="251">
        <f>IF(ISNA(VLOOKUP(B46,EDW_FEEDER!$T$2:$AH$86,8,FALSE))=TRUE,"",VLOOKUP(B46,EDW_FEEDER!$T$2:$AH$86,8,FALSE))</f>
        <v>153.30000000000001</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1"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3" t="s">
        <v>393</v>
      </c>
      <c r="D1" s="494"/>
      <c r="E1" s="494"/>
      <c r="F1" s="494"/>
      <c r="G1" s="494"/>
      <c r="H1" s="494"/>
      <c r="I1" s="494"/>
      <c r="J1" s="493" t="s">
        <v>399</v>
      </c>
      <c r="K1" s="494"/>
      <c r="L1" s="494"/>
      <c r="M1" s="503"/>
    </row>
    <row r="2" spans="2:16" ht="24" customHeight="1" thickBot="1" x14ac:dyDescent="0.4">
      <c r="B2" s="220"/>
      <c r="C2" s="495"/>
      <c r="D2" s="496"/>
      <c r="E2" s="496"/>
      <c r="F2" s="496"/>
      <c r="G2" s="496"/>
      <c r="H2" s="496"/>
      <c r="I2" s="496"/>
      <c r="J2" s="495" t="str">
        <f>Transformation!B5</f>
        <v>As of April 18, 2015</v>
      </c>
      <c r="K2" s="496"/>
      <c r="L2" s="496"/>
      <c r="M2" s="504"/>
    </row>
    <row r="3" spans="2:16" ht="51.75" customHeight="1" thickBot="1" x14ac:dyDescent="0.25">
      <c r="B3" s="220"/>
      <c r="C3" s="483" t="s">
        <v>428</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
      <c r="B5" s="99"/>
      <c r="C5" s="66" t="s">
        <v>222</v>
      </c>
      <c r="D5" s="505" t="s">
        <v>23</v>
      </c>
      <c r="E5" s="506"/>
      <c r="F5" s="61" t="s">
        <v>225</v>
      </c>
      <c r="G5" s="505" t="s">
        <v>230</v>
      </c>
      <c r="H5" s="507"/>
      <c r="I5" s="61" t="s">
        <v>228</v>
      </c>
      <c r="J5" s="62" t="s">
        <v>17</v>
      </c>
      <c r="K5" s="61" t="s">
        <v>233</v>
      </c>
      <c r="L5" s="508" t="s">
        <v>99</v>
      </c>
      <c r="M5" s="509"/>
    </row>
    <row r="6" spans="2:16" ht="51.75" customHeight="1" x14ac:dyDescent="0.2">
      <c r="B6" s="99"/>
      <c r="C6" s="67" t="s">
        <v>223</v>
      </c>
      <c r="D6" s="500" t="s">
        <v>0</v>
      </c>
      <c r="E6" s="501"/>
      <c r="F6" s="63" t="s">
        <v>226</v>
      </c>
      <c r="G6" s="502" t="s">
        <v>231</v>
      </c>
      <c r="H6" s="502"/>
      <c r="I6" s="63" t="s">
        <v>229</v>
      </c>
      <c r="J6" s="31" t="s">
        <v>26</v>
      </c>
      <c r="K6" s="63" t="s">
        <v>234</v>
      </c>
      <c r="L6" s="510" t="s">
        <v>101</v>
      </c>
      <c r="M6" s="511"/>
    </row>
    <row r="7" spans="2:16" ht="51.75" customHeight="1" thickBot="1" x14ac:dyDescent="0.25">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
      <c r="C9" s="486" t="s">
        <v>390</v>
      </c>
      <c r="D9" s="486"/>
      <c r="E9" s="486"/>
      <c r="F9" s="486"/>
      <c r="G9" s="486"/>
      <c r="H9" s="486"/>
      <c r="I9" s="486"/>
      <c r="J9" s="486"/>
      <c r="K9" s="486"/>
      <c r="L9" s="486"/>
      <c r="M9" s="48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450391</v>
      </c>
      <c r="D11" s="251">
        <f>IF(ISNA(VLOOKUP(B11,EDW_FEEDER!$T$2:$AH$86,10,FALSE))=TRUE,"",VLOOKUP(B11,EDW_FEEDER!$T$2:$AH$86,10,FALSE))</f>
        <v>130.5</v>
      </c>
      <c r="E11" s="252">
        <f>IF(ISNA(VLOOKUP(B11,EDW_FEEDER!$T$2:$AH$86,11,FALSE))=TRUE,"",VLOOKUP(B11,EDW_FEEDER!$T$2:$AH$870,11,FALSE))</f>
        <v>0.39306999999999997</v>
      </c>
      <c r="F11" s="250">
        <f>IF(ISNA(VLOOKUP(B11,EDW_FEEDER!$T$2:$AH$86,12,FALSE))=TRUE,"",VLOOKUP(B11,EDW_FEEDER!$T$2:$AH$86,12,FALSE))</f>
        <v>72106</v>
      </c>
      <c r="G11" s="250">
        <f>IF(ISNA(VLOOKUP(B11,EDW_FEEDER!$T$2:$AH$86,13,FALSE))=TRUE,"",VLOOKUP(B11,EDW_FEEDER!$T$2:$AH$86,13,FALSE))</f>
        <v>742178</v>
      </c>
      <c r="H11" s="251">
        <f>IF(ISNA(VLOOKUP(B11,EDW_FEEDER!$T$2:$AH$86,14,FALSE))=TRUE,"",VLOOKUP(B11,EDW_FEEDER!$T$2:$AH$86,14,FALSE))</f>
        <v>170.5</v>
      </c>
      <c r="I11" s="251">
        <f>IF(ISNA(VLOOKUP(B11,EDW_FEEDER!$T$2:$AH$86,15,FALSE))=TRUE,"",VLOOKUP(B11,EDW_FEEDER!$T$2:$AH$86,15,FALSE))</f>
        <v>182.6</v>
      </c>
      <c r="J11" s="105"/>
      <c r="K11" s="105"/>
      <c r="L11" s="105"/>
      <c r="M11" s="105"/>
      <c r="P11" s="70" t="s">
        <v>151</v>
      </c>
    </row>
    <row r="12" spans="2:16" x14ac:dyDescent="0.2">
      <c r="B12" s="478" t="s">
        <v>385</v>
      </c>
      <c r="C12" s="479"/>
      <c r="D12" s="479"/>
      <c r="E12" s="479"/>
      <c r="F12" s="479"/>
      <c r="G12" s="479"/>
      <c r="H12" s="479"/>
      <c r="I12" s="479"/>
      <c r="J12" s="479"/>
      <c r="K12" s="479"/>
      <c r="L12" s="479"/>
      <c r="M12" s="480"/>
      <c r="P12" s="182" t="s">
        <v>152</v>
      </c>
    </row>
    <row r="13" spans="2:16" x14ac:dyDescent="0.2">
      <c r="B13" s="111" t="s">
        <v>386</v>
      </c>
      <c r="C13" s="250">
        <f>IF(ISNA(VLOOKUP("USAV",EDW_FEEDER!$T$2:$AH$86,9,FALSE))=TRUE,"",VLOOKUP("USAV",EDW_FEEDER!$T$2:$AH$86,9,FALSE))</f>
        <v>412735</v>
      </c>
      <c r="D13" s="251">
        <f>IF(ISNA(VLOOKUP("USAV",EDW_FEEDER!$T$2:$AH$86,10,FALSE))=TRUE,"",VLOOKUP("USAV",EDW_FEEDER!$T$2:$AH$86,10,FALSE))</f>
        <v>136</v>
      </c>
      <c r="E13" s="252">
        <f>IF(ISNA(VLOOKUP("USAV",EDW_FEEDER!$T$2:$AH$86,11,FALSE))=TRUE,"",VLOOKUP("USAV",EDW_FEEDER!$T$2:$AH$870,11,FALSE))</f>
        <v>0.41592000000000001</v>
      </c>
      <c r="F13" s="250">
        <f>IF(ISNA(VLOOKUP("USAV",EDW_FEEDER!$T$2:$AH$86,12,FALSE))=TRUE,"",VLOOKUP("USAV",EDW_FEEDER!$T$2:$AH$86,12,FALSE))</f>
        <v>62034</v>
      </c>
      <c r="G13" s="250">
        <f>IF(ISNA(VLOOKUP("USAV",EDW_FEEDER!$T$2:$AH$86,13,FALSE))=TRUE,"",VLOOKUP("USAV",EDW_FEEDER!$T$2:$AH$86,13,FALSE))</f>
        <v>630457</v>
      </c>
      <c r="H13" s="251">
        <f>IF(ISNA(VLOOKUP("USAV",EDW_FEEDER!$T$2:$AH$86,14,FALSE))=TRUE,"",VLOOKUP("USAV",EDW_FEEDER!$T$2:$AH$86,14,FALSE))</f>
        <v>184</v>
      </c>
      <c r="I13" s="251">
        <f>IF(ISNA(VLOOKUP("USAV",EDW_FEEDER!$T$2:$AH$86,15,FALSE))=TRUE,"",VLOOKUP("USAV",EDW_FEEDER!$T$2:$AH$86,15,FALSE))</f>
        <v>199.8</v>
      </c>
      <c r="J13" s="105"/>
      <c r="K13" s="105"/>
      <c r="L13" s="105"/>
      <c r="M13" s="105"/>
      <c r="P13" s="182" t="s">
        <v>9</v>
      </c>
    </row>
    <row r="14" spans="2:16" x14ac:dyDescent="0.2">
      <c r="B14" s="215" t="s">
        <v>149</v>
      </c>
      <c r="C14" s="250">
        <f>IF(ISNA(VLOOKUP($B14,EDW_FEEDER!$T$2:$AH$86,9,FALSE))=TRUE,"",VLOOKUP($B14,EDW_FEEDER!$T$2:$AH$86,9,FALSE))</f>
        <v>83025</v>
      </c>
      <c r="D14" s="251">
        <f>IF(ISNA(VLOOKUP(B14,EDW_FEEDER!$T$2:$AH$86,10,FALSE))=TRUE,"",VLOOKUP(B14,EDW_FEEDER!$T$2:$AH$86,10,FALSE))</f>
        <v>138.6</v>
      </c>
      <c r="E14" s="252">
        <f>IF(ISNA(VLOOKUP(B14,EDW_FEEDER!$T$2:$AH$86,11,FALSE))=TRUE,"",VLOOKUP(B14,EDW_FEEDER!$T$2:$AH$870,11,FALSE))</f>
        <v>0.43729000000000001</v>
      </c>
      <c r="F14" s="250">
        <f>IF(ISNA(VLOOKUP(B14,EDW_FEEDER!$T$2:$AH$86,12,FALSE))=TRUE,"",VLOOKUP(B14,EDW_FEEDER!$T$2:$AH$86,12,FALSE))</f>
        <v>13027</v>
      </c>
      <c r="G14" s="250">
        <f>IF(ISNA(VLOOKUP(B14,EDW_FEEDER!$T$2:$AH$86,13,FALSE))=TRUE,"",VLOOKUP(B14,EDW_FEEDER!$T$2:$AH$86,13,FALSE))</f>
        <v>130628</v>
      </c>
      <c r="H14" s="251">
        <f>IF(ISNA(VLOOKUP(B14,EDW_FEEDER!$T$2:$AH$86,14,FALSE))=TRUE,"",VLOOKUP(B14,EDW_FEEDER!$T$2:$AH$86,14,FALSE))</f>
        <v>182.4</v>
      </c>
      <c r="I14" s="251">
        <f>IF(ISNA(VLOOKUP(B14,EDW_FEEDER!$T$2:$AH$86,15,FALSE))=TRUE,"",VLOOKUP(B14,EDW_FEEDER!$T$2:$AH$86,15,FALSE))</f>
        <v>195.4</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2103</v>
      </c>
      <c r="D15" s="251">
        <f>IF(ISNA(VLOOKUP(B15,EDW_FEEDER!$T$2:$AH$86,10,FALSE))=TRUE,"",VLOOKUP(B15,EDW_FEEDER!$T$2:$AH$86,10,FALSE))</f>
        <v>136.4</v>
      </c>
      <c r="E15" s="252">
        <f>IF(ISNA(VLOOKUP(B15,EDW_FEEDER!$T$2:$AH$86,11,FALSE))=TRUE,"",VLOOKUP(B15,EDW_FEEDER!$T$2:$AH$870,11,FALSE))</f>
        <v>0.37328</v>
      </c>
      <c r="F15" s="250">
        <f>IF(ISNA(VLOOKUP(B15,EDW_FEEDER!$T$2:$AH$86,12,FALSE))=TRUE,"",VLOOKUP(B15,EDW_FEEDER!$T$2:$AH$86,12,FALSE))</f>
        <v>348</v>
      </c>
      <c r="G15" s="250">
        <f>IF(ISNA(VLOOKUP(B15,EDW_FEEDER!$T$2:$AH$86,13,FALSE))=TRUE,"",VLOOKUP(B15,EDW_FEEDER!$T$2:$AH$86,13,FALSE))</f>
        <v>2713</v>
      </c>
      <c r="H15" s="251">
        <f>IF(ISNA(VLOOKUP(B15,EDW_FEEDER!$T$2:$AH$86,14,FALSE))=TRUE,"",VLOOKUP(B15,EDW_FEEDER!$T$2:$AH$86,14,FALSE))</f>
        <v>205.6</v>
      </c>
      <c r="I15" s="251">
        <f>IF(ISNA(VLOOKUP(B15,EDW_FEEDER!$T$2:$AH$86,15,FALSE))=TRUE,"",VLOOKUP(B15,EDW_FEEDER!$T$2:$AH$86,15,FALSE))</f>
        <v>312.3</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3955</v>
      </c>
      <c r="D16" s="251">
        <f>IF(ISNA(VLOOKUP(B16,EDW_FEEDER!$T$2:$AH$86,10,FALSE))=TRUE,"",VLOOKUP(B16,EDW_FEEDER!$T$2:$AH$86,10,FALSE))</f>
        <v>121.8</v>
      </c>
      <c r="E16" s="252">
        <f>IF(ISNA(VLOOKUP(B16,EDW_FEEDER!$T$2:$AH$86,11,FALSE))=TRUE,"",VLOOKUP(B16,EDW_FEEDER!$T$2:$AH$870,11,FALSE))</f>
        <v>0.36181999999999997</v>
      </c>
      <c r="F16" s="250">
        <f>IF(ISNA(VLOOKUP(B16,EDW_FEEDER!$T$2:$AH$86,12,FALSE))=TRUE,"",VLOOKUP(B16,EDW_FEEDER!$T$2:$AH$86,12,FALSE))</f>
        <v>525</v>
      </c>
      <c r="G16" s="250">
        <f>IF(ISNA(VLOOKUP(B16,EDW_FEEDER!$T$2:$AH$86,13,FALSE))=TRUE,"",VLOOKUP(B16,EDW_FEEDER!$T$2:$AH$86,13,FALSE))</f>
        <v>5307</v>
      </c>
      <c r="H16" s="251">
        <f>IF(ISNA(VLOOKUP(B16,EDW_FEEDER!$T$2:$AH$86,14,FALSE))=TRUE,"",VLOOKUP(B16,EDW_FEEDER!$T$2:$AH$86,14,FALSE))</f>
        <v>174.7</v>
      </c>
      <c r="I16" s="251">
        <f>IF(ISNA(VLOOKUP(B16,EDW_FEEDER!$T$2:$AH$86,15,FALSE))=TRUE,"",VLOOKUP(B16,EDW_FEEDER!$T$2:$AH$86,15,FALSE))</f>
        <v>225.3</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4437</v>
      </c>
      <c r="D17" s="251">
        <f>IF(ISNA(VLOOKUP(B17,EDW_FEEDER!$T$2:$AH$86,10,FALSE))=TRUE,"",VLOOKUP(B17,EDW_FEEDER!$T$2:$AH$86,10,FALSE))</f>
        <v>128.69999999999999</v>
      </c>
      <c r="E17" s="252">
        <f>IF(ISNA(VLOOKUP(B17,EDW_FEEDER!$T$2:$AH$86,11,FALSE))=TRUE,"",VLOOKUP(B17,EDW_FEEDER!$T$2:$AH$870,11,FALSE))</f>
        <v>0.40050000000000002</v>
      </c>
      <c r="F17" s="250">
        <f>IF(ISNA(VLOOKUP(B17,EDW_FEEDER!$T$2:$AH$86,12,FALSE))=TRUE,"",VLOOKUP(B17,EDW_FEEDER!$T$2:$AH$86,12,FALSE))</f>
        <v>486</v>
      </c>
      <c r="G17" s="250">
        <f>IF(ISNA(VLOOKUP(B17,EDW_FEEDER!$T$2:$AH$86,13,FALSE))=TRUE,"",VLOOKUP(B17,EDW_FEEDER!$T$2:$AH$86,13,FALSE))</f>
        <v>6212</v>
      </c>
      <c r="H17" s="251">
        <f>IF(ISNA(VLOOKUP(B17,EDW_FEEDER!$T$2:$AH$86,14,FALSE))=TRUE,"",VLOOKUP(B17,EDW_FEEDER!$T$2:$AH$86,14,FALSE))</f>
        <v>238.9</v>
      </c>
      <c r="I17" s="251">
        <f>IF(ISNA(VLOOKUP(B17,EDW_FEEDER!$T$2:$AH$86,15,FALSE))=TRUE,"",VLOOKUP(B17,EDW_FEEDER!$T$2:$AH$86,15,FALSE))</f>
        <v>230.6</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13717</v>
      </c>
      <c r="D18" s="251">
        <f>IF(ISNA(VLOOKUP(B18,EDW_FEEDER!$T$2:$AH$86,10,FALSE))=TRUE,"",VLOOKUP(B18,EDW_FEEDER!$T$2:$AH$86,10,FALSE))</f>
        <v>138.30000000000001</v>
      </c>
      <c r="E18" s="252">
        <f>IF(ISNA(VLOOKUP(B18,EDW_FEEDER!$T$2:$AH$86,11,FALSE))=TRUE,"",VLOOKUP(B18,EDW_FEEDER!$T$2:$AH$870,11,FALSE))</f>
        <v>0.42282999999999998</v>
      </c>
      <c r="F18" s="250">
        <f>IF(ISNA(VLOOKUP(B18,EDW_FEEDER!$T$2:$AH$86,12,FALSE))=TRUE,"",VLOOKUP(B18,EDW_FEEDER!$T$2:$AH$86,12,FALSE))</f>
        <v>2123</v>
      </c>
      <c r="G18" s="250">
        <f>IF(ISNA(VLOOKUP(B18,EDW_FEEDER!$T$2:$AH$86,13,FALSE))=TRUE,"",VLOOKUP(B18,EDW_FEEDER!$T$2:$AH$86,13,FALSE))</f>
        <v>20415</v>
      </c>
      <c r="H18" s="251">
        <f>IF(ISNA(VLOOKUP(B18,EDW_FEEDER!$T$2:$AH$86,14,FALSE))=TRUE,"",VLOOKUP(B18,EDW_FEEDER!$T$2:$AH$86,14,FALSE))</f>
        <v>183.6</v>
      </c>
      <c r="I18" s="251">
        <f>IF(ISNA(VLOOKUP(B18,EDW_FEEDER!$T$2:$AH$86,15,FALSE))=TRUE,"",VLOOKUP(B18,EDW_FEEDER!$T$2:$AH$86,15,FALSE))</f>
        <v>183.5</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10710</v>
      </c>
      <c r="D19" s="251">
        <f>IF(ISNA(VLOOKUP(B19,EDW_FEEDER!$T$2:$AH$86,10,FALSE))=TRUE,"",VLOOKUP(B19,EDW_FEEDER!$T$2:$AH$86,10,FALSE))</f>
        <v>119.2</v>
      </c>
      <c r="E19" s="252">
        <f>IF(ISNA(VLOOKUP(B19,EDW_FEEDER!$T$2:$AH$86,11,FALSE))=TRUE,"",VLOOKUP(B19,EDW_FEEDER!$T$2:$AH$870,11,FALSE))</f>
        <v>0.36312</v>
      </c>
      <c r="F19" s="250">
        <f>IF(ISNA(VLOOKUP(B19,EDW_FEEDER!$T$2:$AH$86,12,FALSE))=TRUE,"",VLOOKUP(B19,EDW_FEEDER!$T$2:$AH$86,12,FALSE))</f>
        <v>1368</v>
      </c>
      <c r="G19" s="250">
        <f>IF(ISNA(VLOOKUP(B19,EDW_FEEDER!$T$2:$AH$86,13,FALSE))=TRUE,"",VLOOKUP(B19,EDW_FEEDER!$T$2:$AH$86,13,FALSE))</f>
        <v>15019</v>
      </c>
      <c r="H19" s="251">
        <f>IF(ISNA(VLOOKUP(B19,EDW_FEEDER!$T$2:$AH$86,14,FALSE))=TRUE,"",VLOOKUP(B19,EDW_FEEDER!$T$2:$AH$86,14,FALSE))</f>
        <v>182</v>
      </c>
      <c r="I19" s="251">
        <f>IF(ISNA(VLOOKUP(B19,EDW_FEEDER!$T$2:$AH$86,15,FALSE))=TRUE,"",VLOOKUP(B19,EDW_FEEDER!$T$2:$AH$86,15,FALSE))</f>
        <v>185.5</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3687</v>
      </c>
      <c r="D20" s="251">
        <f>IF(ISNA(VLOOKUP(B20,EDW_FEEDER!$T$2:$AH$86,10,FALSE))=TRUE,"",VLOOKUP(B20,EDW_FEEDER!$T$2:$AH$86,10,FALSE))</f>
        <v>122.6</v>
      </c>
      <c r="E20" s="252">
        <f>IF(ISNA(VLOOKUP(B20,EDW_FEEDER!$T$2:$AH$86,11,FALSE))=TRUE,"",VLOOKUP(B20,EDW_FEEDER!$T$2:$AH$870,11,FALSE))</f>
        <v>0.43124000000000001</v>
      </c>
      <c r="F20" s="250">
        <f>IF(ISNA(VLOOKUP(B20,EDW_FEEDER!$T$2:$AH$86,12,FALSE))=TRUE,"",VLOOKUP(B20,EDW_FEEDER!$T$2:$AH$86,12,FALSE))</f>
        <v>478</v>
      </c>
      <c r="G20" s="250">
        <f>IF(ISNA(VLOOKUP(B20,EDW_FEEDER!$T$2:$AH$86,13,FALSE))=TRUE,"",VLOOKUP(B20,EDW_FEEDER!$T$2:$AH$86,13,FALSE))</f>
        <v>5196</v>
      </c>
      <c r="H20" s="251">
        <f>IF(ISNA(VLOOKUP(B20,EDW_FEEDER!$T$2:$AH$86,14,FALSE))=TRUE,"",VLOOKUP(B20,EDW_FEEDER!$T$2:$AH$86,14,FALSE))</f>
        <v>192.2</v>
      </c>
      <c r="I20" s="251">
        <f>IF(ISNA(VLOOKUP(B20,EDW_FEEDER!$T$2:$AH$86,15,FALSE))=TRUE,"",VLOOKUP(B20,EDW_FEEDER!$T$2:$AH$86,15,FALSE))</f>
        <v>179.8</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5127</v>
      </c>
      <c r="D21" s="251">
        <f>IF(ISNA(VLOOKUP(B21,EDW_FEEDER!$T$2:$AH$86,10,FALSE))=TRUE,"",VLOOKUP(B21,EDW_FEEDER!$T$2:$AH$86,10,FALSE))</f>
        <v>144.19999999999999</v>
      </c>
      <c r="E21" s="252">
        <f>IF(ISNA(VLOOKUP(B21,EDW_FEEDER!$T$2:$AH$86,11,FALSE))=TRUE,"",VLOOKUP(B21,EDW_FEEDER!$T$2:$AH$870,11,FALSE))</f>
        <v>0.39731</v>
      </c>
      <c r="F21" s="250">
        <f>IF(ISNA(VLOOKUP(B21,EDW_FEEDER!$T$2:$AH$86,12,FALSE))=TRUE,"",VLOOKUP(B21,EDW_FEEDER!$T$2:$AH$86,12,FALSE))</f>
        <v>896</v>
      </c>
      <c r="G21" s="250">
        <f>IF(ISNA(VLOOKUP(B21,EDW_FEEDER!$T$2:$AH$86,13,FALSE))=TRUE,"",VLOOKUP(B21,EDW_FEEDER!$T$2:$AH$86,13,FALSE))</f>
        <v>8203</v>
      </c>
      <c r="H21" s="251">
        <f>IF(ISNA(VLOOKUP(B21,EDW_FEEDER!$T$2:$AH$86,14,FALSE))=TRUE,"",VLOOKUP(B21,EDW_FEEDER!$T$2:$AH$86,14,FALSE))</f>
        <v>219.8</v>
      </c>
      <c r="I21" s="251">
        <f>IF(ISNA(VLOOKUP(B21,EDW_FEEDER!$T$2:$AH$86,15,FALSE))=TRUE,"",VLOOKUP(B21,EDW_FEEDER!$T$2:$AH$86,15,FALSE))</f>
        <v>242</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1805</v>
      </c>
      <c r="D22" s="251">
        <f>IF(ISNA(VLOOKUP(B22,EDW_FEEDER!$T$2:$AH$86,10,FALSE))=TRUE,"",VLOOKUP(B22,EDW_FEEDER!$T$2:$AH$86,10,FALSE))</f>
        <v>136.1</v>
      </c>
      <c r="E22" s="252">
        <f>IF(ISNA(VLOOKUP(B22,EDW_FEEDER!$T$2:$AH$86,11,FALSE))=TRUE,"",VLOOKUP(B22,EDW_FEEDER!$T$2:$AH$870,11,FALSE))</f>
        <v>0.42104999999999998</v>
      </c>
      <c r="F22" s="250">
        <f>IF(ISNA(VLOOKUP(B22,EDW_FEEDER!$T$2:$AH$86,12,FALSE))=TRUE,"",VLOOKUP(B22,EDW_FEEDER!$T$2:$AH$86,12,FALSE))</f>
        <v>286</v>
      </c>
      <c r="G22" s="250">
        <f>IF(ISNA(VLOOKUP(B22,EDW_FEEDER!$T$2:$AH$86,13,FALSE))=TRUE,"",VLOOKUP(B22,EDW_FEEDER!$T$2:$AH$86,13,FALSE))</f>
        <v>2532</v>
      </c>
      <c r="H22" s="251">
        <f>IF(ISNA(VLOOKUP(B22,EDW_FEEDER!$T$2:$AH$86,14,FALSE))=TRUE,"",VLOOKUP(B22,EDW_FEEDER!$T$2:$AH$86,14,FALSE))</f>
        <v>197.9</v>
      </c>
      <c r="I22" s="251">
        <f>IF(ISNA(VLOOKUP(B22,EDW_FEEDER!$T$2:$AH$86,15,FALSE))=TRUE,"",VLOOKUP(B22,EDW_FEEDER!$T$2:$AH$86,15,FALSE))</f>
        <v>202.7</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4968</v>
      </c>
      <c r="D23" s="251">
        <f>IF(ISNA(VLOOKUP(B23,EDW_FEEDER!$T$2:$AH$86,10,FALSE))=TRUE,"",VLOOKUP(B23,EDW_FEEDER!$T$2:$AH$86,10,FALSE))</f>
        <v>119.7</v>
      </c>
      <c r="E23" s="252">
        <f>IF(ISNA(VLOOKUP(B23,EDW_FEEDER!$T$2:$AH$86,11,FALSE))=TRUE,"",VLOOKUP(B23,EDW_FEEDER!$T$2:$AH$870,11,FALSE))</f>
        <v>0.38446000000000002</v>
      </c>
      <c r="F23" s="250">
        <f>IF(ISNA(VLOOKUP(B23,EDW_FEEDER!$T$2:$AH$86,12,FALSE))=TRUE,"",VLOOKUP(B23,EDW_FEEDER!$T$2:$AH$86,12,FALSE))</f>
        <v>763</v>
      </c>
      <c r="G23" s="250">
        <f>IF(ISNA(VLOOKUP(B23,EDW_FEEDER!$T$2:$AH$86,13,FALSE))=TRUE,"",VLOOKUP(B23,EDW_FEEDER!$T$2:$AH$86,13,FALSE))</f>
        <v>7446</v>
      </c>
      <c r="H23" s="251">
        <f>IF(ISNA(VLOOKUP(B23,EDW_FEEDER!$T$2:$AH$86,14,FALSE))=TRUE,"",VLOOKUP(B23,EDW_FEEDER!$T$2:$AH$86,14,FALSE))</f>
        <v>172.7</v>
      </c>
      <c r="I23" s="251">
        <f>IF(ISNA(VLOOKUP(B23,EDW_FEEDER!$T$2:$AH$86,15,FALSE))=TRUE,"",VLOOKUP(B23,EDW_FEEDER!$T$2:$AH$86,15,FALSE))</f>
        <v>217.2</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2865</v>
      </c>
      <c r="D24" s="251">
        <f>IF(ISNA(VLOOKUP(B24,EDW_FEEDER!$T$2:$AH$86,10,FALSE))=TRUE,"",VLOOKUP(B24,EDW_FEEDER!$T$2:$AH$86,10,FALSE))</f>
        <v>118.6</v>
      </c>
      <c r="E24" s="252">
        <f>IF(ISNA(VLOOKUP(B24,EDW_FEEDER!$T$2:$AH$86,11,FALSE))=TRUE,"",VLOOKUP(B24,EDW_FEEDER!$T$2:$AH$870,11,FALSE))</f>
        <v>0.39162000000000002</v>
      </c>
      <c r="F24" s="250">
        <f>IF(ISNA(VLOOKUP(B24,EDW_FEEDER!$T$2:$AH$86,12,FALSE))=TRUE,"",VLOOKUP(B24,EDW_FEEDER!$T$2:$AH$86,12,FALSE))</f>
        <v>416</v>
      </c>
      <c r="G24" s="250">
        <f>IF(ISNA(VLOOKUP(B24,EDW_FEEDER!$T$2:$AH$86,13,FALSE))=TRUE,"",VLOOKUP(B24,EDW_FEEDER!$T$2:$AH$86,13,FALSE))</f>
        <v>4285</v>
      </c>
      <c r="H24" s="251">
        <f>IF(ISNA(VLOOKUP(B24,EDW_FEEDER!$T$2:$AH$86,14,FALSE))=TRUE,"",VLOOKUP(B24,EDW_FEEDER!$T$2:$AH$86,14,FALSE))</f>
        <v>154.19999999999999</v>
      </c>
      <c r="I24" s="251">
        <f>IF(ISNA(VLOOKUP(B24,EDW_FEEDER!$T$2:$AH$86,15,FALSE))=TRUE,"",VLOOKUP(B24,EDW_FEEDER!$T$2:$AH$86,15,FALSE))</f>
        <v>170.1</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10414</v>
      </c>
      <c r="D25" s="251">
        <f>IF(ISNA(VLOOKUP(B25,EDW_FEEDER!$T$2:$AH$86,10,FALSE))=TRUE,"",VLOOKUP(B25,EDW_FEEDER!$T$2:$AH$86,10,FALSE))</f>
        <v>157.4</v>
      </c>
      <c r="E25" s="252">
        <f>IF(ISNA(VLOOKUP(B25,EDW_FEEDER!$T$2:$AH$86,11,FALSE))=TRUE,"",VLOOKUP(B25,EDW_FEEDER!$T$2:$AH$870,11,FALSE))</f>
        <v>0.50461</v>
      </c>
      <c r="F25" s="250">
        <f>IF(ISNA(VLOOKUP(B25,EDW_FEEDER!$T$2:$AH$86,12,FALSE))=TRUE,"",VLOOKUP(B25,EDW_FEEDER!$T$2:$AH$86,12,FALSE))</f>
        <v>1591</v>
      </c>
      <c r="G25" s="250">
        <f>IF(ISNA(VLOOKUP(B25,EDW_FEEDER!$T$2:$AH$86,13,FALSE))=TRUE,"",VLOOKUP(B25,EDW_FEEDER!$T$2:$AH$86,13,FALSE))</f>
        <v>16896</v>
      </c>
      <c r="H25" s="251">
        <f>IF(ISNA(VLOOKUP(B25,EDW_FEEDER!$T$2:$AH$86,14,FALSE))=TRUE,"",VLOOKUP(B25,EDW_FEEDER!$T$2:$AH$86,14,FALSE))</f>
        <v>212.9</v>
      </c>
      <c r="I25" s="251">
        <f>IF(ISNA(VLOOKUP(B25,EDW_FEEDER!$T$2:$AH$86,15,FALSE))=TRUE,"",VLOOKUP(B25,EDW_FEEDER!$T$2:$AH$86,15,FALSE))</f>
        <v>246.7</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4557</v>
      </c>
      <c r="D26" s="251">
        <f>IF(ISNA(VLOOKUP(B26,EDW_FEEDER!$T$2:$AH$86,10,FALSE))=TRUE,"",VLOOKUP(B26,EDW_FEEDER!$T$2:$AH$86,10,FALSE))</f>
        <v>149.19999999999999</v>
      </c>
      <c r="E26" s="252">
        <f>IF(ISNA(VLOOKUP(B26,EDW_FEEDER!$T$2:$AH$86,11,FALSE))=TRUE,"",VLOOKUP(B26,EDW_FEEDER!$T$2:$AH$870,11,FALSE))</f>
        <v>0.43252000000000002</v>
      </c>
      <c r="F26" s="250">
        <f>IF(ISNA(VLOOKUP(B26,EDW_FEEDER!$T$2:$AH$86,12,FALSE))=TRUE,"",VLOOKUP(B26,EDW_FEEDER!$T$2:$AH$86,12,FALSE))</f>
        <v>649</v>
      </c>
      <c r="G26" s="250">
        <f>IF(ISNA(VLOOKUP(B26,EDW_FEEDER!$T$2:$AH$86,13,FALSE))=TRUE,"",VLOOKUP(B26,EDW_FEEDER!$T$2:$AH$86,13,FALSE))</f>
        <v>6516</v>
      </c>
      <c r="H26" s="251">
        <f>IF(ISNA(VLOOKUP(B26,EDW_FEEDER!$T$2:$AH$86,14,FALSE))=TRUE,"",VLOOKUP(B26,EDW_FEEDER!$T$2:$AH$86,14,FALSE))</f>
        <v>184.4</v>
      </c>
      <c r="I26" s="251">
        <f>IF(ISNA(VLOOKUP(B26,EDW_FEEDER!$T$2:$AH$86,15,FALSE))=TRUE,"",VLOOKUP(B26,EDW_FEEDER!$T$2:$AH$86,15,FALSE))</f>
        <v>220.5</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5818</v>
      </c>
      <c r="D27" s="251">
        <f>IF(ISNA(VLOOKUP(B27,EDW_FEEDER!$T$2:$AH$86,10,FALSE))=TRUE,"",VLOOKUP(B27,EDW_FEEDER!$T$2:$AH$86,10,FALSE))</f>
        <v>152.4</v>
      </c>
      <c r="E27" s="252">
        <f>IF(ISNA(VLOOKUP(B27,EDW_FEEDER!$T$2:$AH$86,11,FALSE))=TRUE,"",VLOOKUP(B27,EDW_FEEDER!$T$2:$AH$870,11,FALSE))</f>
        <v>0.59762999999999999</v>
      </c>
      <c r="F27" s="250">
        <f>IF(ISNA(VLOOKUP(B27,EDW_FEEDER!$T$2:$AH$86,12,FALSE))=TRUE,"",VLOOKUP(B27,EDW_FEEDER!$T$2:$AH$86,12,FALSE))</f>
        <v>1723</v>
      </c>
      <c r="G27" s="250">
        <f>IF(ISNA(VLOOKUP(B27,EDW_FEEDER!$T$2:$AH$86,13,FALSE))=TRUE,"",VLOOKUP(B27,EDW_FEEDER!$T$2:$AH$86,13,FALSE))</f>
        <v>16749</v>
      </c>
      <c r="H27" s="251">
        <f>IF(ISNA(VLOOKUP(B27,EDW_FEEDER!$T$2:$AH$86,14,FALSE))=TRUE,"",VLOOKUP(B27,EDW_FEEDER!$T$2:$AH$86,14,FALSE))</f>
        <v>92.9</v>
      </c>
      <c r="I27" s="251">
        <f>IF(ISNA(VLOOKUP(B27,EDW_FEEDER!$T$2:$AH$86,15,FALSE))=TRUE,"",VLOOKUP(B27,EDW_FEEDER!$T$2:$AH$86,15,FALSE))</f>
        <v>80.3</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7007</v>
      </c>
      <c r="D28" s="251">
        <f>IF(ISNA(VLOOKUP(B28,EDW_FEEDER!$T$2:$AH$86,10,FALSE))=TRUE,"",VLOOKUP(B28,EDW_FEEDER!$T$2:$AH$86,10,FALSE))</f>
        <v>167.7</v>
      </c>
      <c r="E28" s="252">
        <f>IF(ISNA(VLOOKUP(B28,EDW_FEEDER!$T$2:$AH$86,11,FALSE))=TRUE,"",VLOOKUP(B28,EDW_FEEDER!$T$2:$AH$870,11,FALSE))</f>
        <v>0.55015999999999998</v>
      </c>
      <c r="F28" s="250">
        <f>IF(ISNA(VLOOKUP(B28,EDW_FEEDER!$T$2:$AH$86,12,FALSE))=TRUE,"",VLOOKUP(B28,EDW_FEEDER!$T$2:$AH$86,12,FALSE))</f>
        <v>1177</v>
      </c>
      <c r="G28" s="250">
        <f>IF(ISNA(VLOOKUP(B28,EDW_FEEDER!$T$2:$AH$86,13,FALSE))=TRUE,"",VLOOKUP(B28,EDW_FEEDER!$T$2:$AH$86,13,FALSE))</f>
        <v>10672</v>
      </c>
      <c r="H28" s="251">
        <f>IF(ISNA(VLOOKUP(B28,EDW_FEEDER!$T$2:$AH$86,14,FALSE))=TRUE,"",VLOOKUP(B28,EDW_FEEDER!$T$2:$AH$86,14,FALSE))</f>
        <v>217.2</v>
      </c>
      <c r="I28" s="251">
        <f>IF(ISNA(VLOOKUP(B28,EDW_FEEDER!$T$2:$AH$86,15,FALSE))=TRUE,"",VLOOKUP(B28,EDW_FEEDER!$T$2:$AH$86,15,FALSE))</f>
        <v>211</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1045</v>
      </c>
      <c r="D29" s="251">
        <f>IF(ISNA(VLOOKUP(B29,EDW_FEEDER!$T$2:$AH$86,10,FALSE))=TRUE,"",VLOOKUP(B29,EDW_FEEDER!$T$2:$AH$86,10,FALSE))</f>
        <v>112.2</v>
      </c>
      <c r="E29" s="252">
        <f>IF(ISNA(VLOOKUP(B29,EDW_FEEDER!$T$2:$AH$86,11,FALSE))=TRUE,"",VLOOKUP(B29,EDW_FEEDER!$T$2:$AH$870,11,FALSE))</f>
        <v>0.24210999999999999</v>
      </c>
      <c r="F29" s="250">
        <f>IF(ISNA(VLOOKUP(B29,EDW_FEEDER!$T$2:$AH$86,12,FALSE))=TRUE,"",VLOOKUP(B29,EDW_FEEDER!$T$2:$AH$86,12,FALSE))</f>
        <v>95</v>
      </c>
      <c r="G29" s="250">
        <f>IF(ISNA(VLOOKUP(B29,EDW_FEEDER!$T$2:$AH$86,13,FALSE))=TRUE,"",VLOOKUP(B29,EDW_FEEDER!$T$2:$AH$86,13,FALSE))</f>
        <v>1238</v>
      </c>
      <c r="H29" s="251">
        <f>IF(ISNA(VLOOKUP(B29,EDW_FEEDER!$T$2:$AH$86,14,FALSE))=TRUE,"",VLOOKUP(B29,EDW_FEEDER!$T$2:$AH$86,14,FALSE))</f>
        <v>211.4</v>
      </c>
      <c r="I29" s="251">
        <f>IF(ISNA(VLOOKUP(B29,EDW_FEEDER!$T$2:$AH$86,15,FALSE))=TRUE,"",VLOOKUP(B29,EDW_FEEDER!$T$2:$AH$86,15,FALSE))</f>
        <v>206.6</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810</v>
      </c>
      <c r="D30" s="251">
        <f>IF(ISNA(VLOOKUP(B30,EDW_FEEDER!$T$2:$AH$86,10,FALSE))=TRUE,"",VLOOKUP(B30,EDW_FEEDER!$T$2:$AH$86,10,FALSE))</f>
        <v>160</v>
      </c>
      <c r="E30" s="252">
        <f>IF(ISNA(VLOOKUP(B30,EDW_FEEDER!$T$2:$AH$86,11,FALSE))=TRUE,"",VLOOKUP(B30,EDW_FEEDER!$T$2:$AH$870,11,FALSE))</f>
        <v>0.48642000000000002</v>
      </c>
      <c r="F30" s="250">
        <f>IF(ISNA(VLOOKUP(B30,EDW_FEEDER!$T$2:$AH$86,12,FALSE))=TRUE,"",VLOOKUP(B30,EDW_FEEDER!$T$2:$AH$86,12,FALSE))</f>
        <v>103</v>
      </c>
      <c r="G30" s="250">
        <f>IF(ISNA(VLOOKUP(B30,EDW_FEEDER!$T$2:$AH$86,13,FALSE))=TRUE,"",VLOOKUP(B30,EDW_FEEDER!$T$2:$AH$86,13,FALSE))</f>
        <v>1229</v>
      </c>
      <c r="H30" s="251">
        <f>IF(ISNA(VLOOKUP(B30,EDW_FEEDER!$T$2:$AH$86,14,FALSE))=TRUE,"",VLOOKUP(B30,EDW_FEEDER!$T$2:$AH$86,14,FALSE))</f>
        <v>218.9</v>
      </c>
      <c r="I30" s="251">
        <f>IF(ISNA(VLOOKUP(B30,EDW_FEEDER!$T$2:$AH$86,15,FALSE))=TRUE,"",VLOOKUP(B30,EDW_FEEDER!$T$2:$AH$86,15,FALSE))</f>
        <v>225.2</v>
      </c>
      <c r="J30" s="105"/>
      <c r="K30" s="105"/>
      <c r="L30" s="105"/>
      <c r="M30" s="105"/>
    </row>
    <row r="31" spans="2:13" x14ac:dyDescent="0.2">
      <c r="B31" s="478" t="s">
        <v>297</v>
      </c>
      <c r="C31" s="479"/>
      <c r="D31" s="479"/>
      <c r="E31" s="479"/>
      <c r="F31" s="479"/>
      <c r="G31" s="479"/>
      <c r="H31" s="479"/>
      <c r="I31" s="479"/>
      <c r="J31" s="479"/>
      <c r="K31" s="479"/>
      <c r="L31" s="479"/>
      <c r="M31" s="480"/>
    </row>
    <row r="32" spans="2:13" x14ac:dyDescent="0.2">
      <c r="B32" s="212" t="s">
        <v>387</v>
      </c>
      <c r="C32" s="250">
        <f>IF(ISNA(VLOOKUP("USAP",EDW_FEEDER!$T$2:$AH$86,9,FALSE))=TRUE,"",VLOOKUP("USAP",EDW_FEEDER!$T$2:$AH$86,9,FALSE))</f>
        <v>20270</v>
      </c>
      <c r="D32" s="251">
        <f>IF(ISNA(VLOOKUP("USAP",EDW_FEEDER!$T$2:$AH$86,10,FALSE))=TRUE,"",VLOOKUP("USAP",EDW_FEEDER!$T$2:$AH$86,10,FALSE))</f>
        <v>56.9</v>
      </c>
      <c r="E32" s="252">
        <f>IF(ISNA(VLOOKUP("USAP",EDW_FEEDER!$T$2:$AH$86,11,FALSE))=TRUE,"",VLOOKUP("USAP",EDW_FEEDER!$T$2:$AH$870,11,FALSE))</f>
        <v>8.3129999999999996E-2</v>
      </c>
      <c r="F32" s="250">
        <f>IF(ISNA(VLOOKUP("USAP",EDW_FEEDER!$T$2:$AH$86,12,FALSE))=TRUE,"",VLOOKUP("USAP",EDW_FEEDER!$T$2:$AH$86,12,FALSE))</f>
        <v>7162</v>
      </c>
      <c r="G32" s="250">
        <f>IF(ISNA(VLOOKUP("USAP",EDW_FEEDER!$T$2:$AH$86,13,FALSE))=TRUE,"",VLOOKUP("USAP",EDW_FEEDER!$T$2:$AH$86,13,FALSE))</f>
        <v>83018</v>
      </c>
      <c r="H32" s="251">
        <f>IF(ISNA(VLOOKUP("USAP",EDW_FEEDER!$T$2:$AH$86,14,FALSE))=TRUE,"",VLOOKUP("USAP",EDW_FEEDER!$T$2:$AH$86,14,FALSE))</f>
        <v>62</v>
      </c>
      <c r="I32" s="251">
        <f>IF(ISNA(VLOOKUP("USAP",EDW_FEEDER!$T$2:$AH$86,15,FALSE))=TRUE,"",VLOOKUP("USAP",EDW_FEEDER!$T$2:$AH$86,15,FALSE))</f>
        <v>64.900000000000006</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7503</v>
      </c>
      <c r="D33" s="251">
        <f>IF(ISNA(VLOOKUP(B33,EDW_FEEDER!$T$2:$AH$86,10,FALSE))=TRUE,"",VLOOKUP(B33,EDW_FEEDER!$T$2:$AH$86,10,FALSE))</f>
        <v>61.1</v>
      </c>
      <c r="E33" s="252">
        <f>IF(ISNA(VLOOKUP(B33,EDW_FEEDER!$T$2:$AH$86,11,FALSE))=TRUE,"",VLOOKUP(B33,EDW_FEEDER!$T$2:$AH$870,11,FALSE))</f>
        <v>0.10102999999999999</v>
      </c>
      <c r="F33" s="250">
        <f>IF(ISNA(VLOOKUP(B33,EDW_FEEDER!$T$2:$AH$86,12,FALSE))=TRUE,"",VLOOKUP(B33,EDW_FEEDER!$T$2:$AH$86,12,FALSE))</f>
        <v>1805</v>
      </c>
      <c r="G33" s="250">
        <f>IF(ISNA(VLOOKUP(B33,EDW_FEEDER!$T$2:$AH$86,13,FALSE))=TRUE,"",VLOOKUP(B33,EDW_FEEDER!$T$2:$AH$86,13,FALSE))</f>
        <v>25710</v>
      </c>
      <c r="H33" s="251">
        <f>IF(ISNA(VLOOKUP(B33,EDW_FEEDER!$T$2:$AH$86,14,FALSE))=TRUE,"",VLOOKUP(B33,EDW_FEEDER!$T$2:$AH$86,14,FALSE))</f>
        <v>72</v>
      </c>
      <c r="I33" s="251">
        <f>IF(ISNA(VLOOKUP(B33,EDW_FEEDER!$T$2:$AH$86,15,FALSE))=TRUE,"",VLOOKUP(B33,EDW_FEEDER!$T$2:$AH$86,15,FALSE))</f>
        <v>73.400000000000006</v>
      </c>
      <c r="J33" s="105"/>
      <c r="K33" s="105"/>
      <c r="L33" s="105"/>
      <c r="M33" s="105"/>
    </row>
    <row r="34" spans="1:16" x14ac:dyDescent="0.2">
      <c r="A34" s="16"/>
      <c r="B34" s="116" t="s">
        <v>243</v>
      </c>
      <c r="C34" s="250">
        <f>IF(ISNA(VLOOKUP($B34,EDW_FEEDER!$T$2:$AH$86,9,FALSE))=TRUE,"",VLOOKUP($B34,EDW_FEEDER!$T$2:$AH$86,9,FALSE))</f>
        <v>4923</v>
      </c>
      <c r="D34" s="251">
        <f>IF(ISNA(VLOOKUP(B34,EDW_FEEDER!$T$2:$AH$86,10,FALSE))=TRUE,"",VLOOKUP(B34,EDW_FEEDER!$T$2:$AH$86,10,FALSE))</f>
        <v>47.5</v>
      </c>
      <c r="E34" s="252">
        <f>IF(ISNA(VLOOKUP(B34,EDW_FEEDER!$T$2:$AH$86,11,FALSE))=TRUE,"",VLOOKUP(B34,EDW_FEEDER!$T$2:$AH$870,11,FALSE))</f>
        <v>6.4390000000000003E-2</v>
      </c>
      <c r="F34" s="250">
        <f>IF(ISNA(VLOOKUP(B34,EDW_FEEDER!$T$2:$AH$86,12,FALSE))=TRUE,"",VLOOKUP(B34,EDW_FEEDER!$T$2:$AH$86,12,FALSE))</f>
        <v>2085</v>
      </c>
      <c r="G34" s="250">
        <f>IF(ISNA(VLOOKUP(B34,EDW_FEEDER!$T$2:$AH$86,13,FALSE))=TRUE,"",VLOOKUP(B34,EDW_FEEDER!$T$2:$AH$86,13,FALSE))</f>
        <v>23325</v>
      </c>
      <c r="H34" s="251">
        <f>IF(ISNA(VLOOKUP(B34,EDW_FEEDER!$T$2:$AH$86,14,FALSE))=TRUE,"",VLOOKUP(B34,EDW_FEEDER!$T$2:$AH$86,14,FALSE))</f>
        <v>52.8</v>
      </c>
      <c r="I34" s="251">
        <f>IF(ISNA(VLOOKUP(B34,EDW_FEEDER!$T$2:$AH$86,15,FALSE))=TRUE,"",VLOOKUP(B34,EDW_FEEDER!$T$2:$AH$86,15,FALSE))</f>
        <v>56.8</v>
      </c>
      <c r="J34" s="105"/>
      <c r="K34" s="105"/>
      <c r="L34" s="105"/>
      <c r="M34" s="105"/>
    </row>
    <row r="35" spans="1:16" x14ac:dyDescent="0.2">
      <c r="B35" s="116" t="s">
        <v>251</v>
      </c>
      <c r="C35" s="250">
        <f>IF(ISNA(VLOOKUP($B35,EDW_FEEDER!$T$2:$AH$86,9,FALSE))=TRUE,"",VLOOKUP($B35,EDW_FEEDER!$T$2:$AH$86,9,FALSE))</f>
        <v>7346</v>
      </c>
      <c r="D35" s="251">
        <f>IF(ISNA(VLOOKUP(B35,EDW_FEEDER!$T$2:$AH$86,10,FALSE))=TRUE,"",VLOOKUP(B35,EDW_FEEDER!$T$2:$AH$86,10,FALSE))</f>
        <v>50.5</v>
      </c>
      <c r="E35" s="252">
        <f>IF(ISNA(VLOOKUP(B35,EDW_FEEDER!$T$2:$AH$86,11,FALSE))=TRUE,"",VLOOKUP(B35,EDW_FEEDER!$T$2:$AH$870,11,FALSE))</f>
        <v>4.5060000000000003E-2</v>
      </c>
      <c r="F35" s="250">
        <f>IF(ISNA(VLOOKUP(B35,EDW_FEEDER!$T$2:$AH$86,12,FALSE))=TRUE,"",VLOOKUP(B35,EDW_FEEDER!$T$2:$AH$86,12,FALSE))</f>
        <v>3017</v>
      </c>
      <c r="G35" s="250">
        <f>IF(ISNA(VLOOKUP(B35,EDW_FEEDER!$T$2:$AH$86,13,FALSE))=TRUE,"",VLOOKUP(B35,EDW_FEEDER!$T$2:$AH$86,13,FALSE))</f>
        <v>30818</v>
      </c>
      <c r="H35" s="251">
        <f>IF(ISNA(VLOOKUP(B35,EDW_FEEDER!$T$2:$AH$86,14,FALSE))=TRUE,"",VLOOKUP(B35,EDW_FEEDER!$T$2:$AH$86,14,FALSE))</f>
        <v>61.3</v>
      </c>
      <c r="I35" s="251">
        <f>IF(ISNA(VLOOKUP(B35,EDW_FEEDER!$T$2:$AH$86,15,FALSE))=TRUE,"",VLOOKUP(B35,EDW_FEEDER!$T$2:$AH$86,15,FALSE))</f>
        <v>64.5</v>
      </c>
      <c r="J35" s="105"/>
      <c r="K35" s="105"/>
      <c r="L35" s="105"/>
      <c r="M35" s="105"/>
    </row>
    <row r="36" spans="1:16" x14ac:dyDescent="0.2">
      <c r="B36" s="117" t="s">
        <v>433</v>
      </c>
      <c r="C36" s="250">
        <f>IF(ISNA(VLOOKUP(B36,EDW_FEEDER!$T$2:$AH$86,9,FALSE))=TRUE,"",VLOOKUP(B36,EDW_FEEDER!$T$2:$AH$86,9,FALSE))</f>
        <v>498</v>
      </c>
      <c r="D36" s="251">
        <f>IF(ISNA(VLOOKUP(B36,EDW_FEEDER!$T$2:$AH$86,10,FALSE))=TRUE,"",VLOOKUP(B36,EDW_FEEDER!$T$2:$AH$86,10,FALSE))</f>
        <v>180.3</v>
      </c>
      <c r="E36" s="252">
        <f>IF(ISNA(VLOOKUP(B36,EDW_FEEDER!$T$2:$AH$86,11,FALSE))=TRUE,"",VLOOKUP(B36,EDW_FEEDER!$T$2:$AH$86,11,FALSE))</f>
        <v>0.56023999999999996</v>
      </c>
      <c r="F36" s="250">
        <f>IF(ISNA(VLOOKUP(B36,EDW_FEEDER!$T$2:$AH$86,12,FALSE))=TRUE,"",VLOOKUP(B36,EDW_FEEDER!$T$2:$AH$86,12,FALSE))</f>
        <v>255</v>
      </c>
      <c r="G36" s="250">
        <f>IF(ISNA(VLOOKUP(B36,EDW_FEEDER!$T$2:$AH$86,13,FALSE))=TRUE,"",VLOOKUP(B36,EDW_FEEDER!$T$2:$AH$86,13,FALSE))</f>
        <v>3165</v>
      </c>
      <c r="H36" s="251">
        <f>IF(ISNA(VLOOKUP(B36,EDW_FEEDER!$T$2:$AH$86,14,FALSE))=TRUE,"",VLOOKUP(B36,EDW_FEEDER!$T$2:$AH$870,14,FALSE))</f>
        <v>75.5</v>
      </c>
      <c r="I36" s="251">
        <f>IF(ISNA(VLOOKUP(B36,EDW_FEEDER!$T$2:$AH$86,15,FALSE))=TRUE,"",VLOOKUP(B36,EDW_FEEDER!$T$2:$AH$86,15,FALSE))</f>
        <v>59.8</v>
      </c>
      <c r="J36" s="105"/>
      <c r="K36" s="105"/>
      <c r="L36" s="105"/>
      <c r="M36" s="105"/>
    </row>
    <row r="37" spans="1:16" x14ac:dyDescent="0.2">
      <c r="B37" s="478" t="s">
        <v>298</v>
      </c>
      <c r="C37" s="479"/>
      <c r="D37" s="479"/>
      <c r="E37" s="479"/>
      <c r="F37" s="479"/>
      <c r="G37" s="479"/>
      <c r="H37" s="479"/>
      <c r="I37" s="479"/>
      <c r="J37" s="479"/>
      <c r="K37" s="479"/>
      <c r="L37" s="479"/>
      <c r="M37" s="480"/>
    </row>
    <row r="38" spans="1:16" x14ac:dyDescent="0.2">
      <c r="B38" s="214" t="s">
        <v>388</v>
      </c>
      <c r="C38" s="250">
        <f>IF(ISNA(VLOOKUP("USAQ",EDW_FEEDER!$T$2:$AH$86,9,FALSE))=TRUE,"",VLOOKUP("USAQ",EDW_FEEDER!$T$2:$AH$86,9,FALSE))</f>
        <v>8153</v>
      </c>
      <c r="D38" s="251">
        <f>IF(ISNA(VLOOKUP("USAQ",EDW_FEEDER!$T$2:$AH$86,10,FALSE))=TRUE,"",VLOOKUP("USAQ",EDW_FEEDER!$T$2:$AH$86,10,FALSE))</f>
        <v>82.7</v>
      </c>
      <c r="E38" s="252">
        <f>IF(ISNA(VLOOKUP("USAQ",EDW_FEEDER!$T$2:$AH$86,11,FALSE))=TRUE,"",VLOOKUP("USAQ",EDW_FEEDER!$T$2:$AH$86,11,FALSE))</f>
        <v>0.20618</v>
      </c>
      <c r="F38" s="250">
        <f>IF(ISNA(VLOOKUP("USAQ",EDW_FEEDER!$T$2:$AH$86,12,FALSE))=TRUE,"",VLOOKUP("USAQ",EDW_FEEDER!$T$2:$AH$86,12,FALSE))</f>
        <v>1435</v>
      </c>
      <c r="G38" s="250">
        <f>IF(ISNA(VLOOKUP("USAQ",EDW_FEEDER!$T$2:$AH$86,13,FALSE))=TRUE,"",VLOOKUP("USAQ",EDW_FEEDER!$T$2:$AH$86,13,FALSE))</f>
        <v>14491</v>
      </c>
      <c r="H38" s="251">
        <f>IF(ISNA(VLOOKUP("USAQ",EDW_FEEDER!$T$2:$AH$86,14,FALSE))=TRUE,"",VLOOKUP("USAQ",EDW_FEEDER!$T$2:$AH$86,14,FALSE))</f>
        <v>139.69999999999999</v>
      </c>
      <c r="I38" s="251">
        <f>IF(ISNA(VLOOKUP("USAQ",EDW_FEEDER!$T$2:$AH$86,15,FALSE))=TRUE,"",VLOOKUP("USAQ",EDW_FEEDER!$T$2:$AH$86,15,FALSE))</f>
        <v>136.6</v>
      </c>
      <c r="J38" s="105"/>
      <c r="K38" s="105"/>
      <c r="L38" s="105"/>
      <c r="M38" s="105"/>
    </row>
    <row r="39" spans="1:16" x14ac:dyDescent="0.2">
      <c r="B39" s="213" t="s">
        <v>85</v>
      </c>
      <c r="C39" s="250">
        <f>IF(ISNA(VLOOKUP("San Diego QS",EDW_FEEDER!$T$2:$AH$86,9,FALSE))=TRUE,"",VLOOKUP("San Diego QS",EDW_FEEDER!$T$2:$AH$86,9,FALSE))</f>
        <v>3402</v>
      </c>
      <c r="D39" s="251">
        <f>IF(ISNA(VLOOKUP("San Diego QS",EDW_FEEDER!$T$2:$AH$86,10,FALSE))=TRUE,"",VLOOKUP("San Diego QS",EDW_FEEDER!$T$2:$AH$86,10,FALSE))</f>
        <v>77.7</v>
      </c>
      <c r="E39" s="252">
        <f>IF(ISNA(VLOOKUP("San Diego QS",EDW_FEEDER!$T$2:$AH$86,11,FALSE))=TRUE,"",VLOOKUP("San Diego QS",EDW_FEEDER!$T$2:$AH$86,11,FALSE))</f>
        <v>0.17549000000000001</v>
      </c>
      <c r="F39" s="250">
        <f>IF(ISNA(VLOOKUP("San Diego QS",EDW_FEEDER!$T$2:$AH$86,12,FALSE))=TRUE,"",VLOOKUP("San Diego QS",EDW_FEEDER!$T$2:$AH$86,12,FALSE))</f>
        <v>737</v>
      </c>
      <c r="G39" s="250">
        <f>IF(ISNA(VLOOKUP("San Diego QS",EDW_FEEDER!$T$2:$AH$86,13,FALSE))=TRUE,"",VLOOKUP("San Diego QS",EDW_FEEDER!$T$2:$AH$86,13,FALSE))</f>
        <v>7498</v>
      </c>
      <c r="H39" s="251">
        <f>IF(ISNA(VLOOKUP("San Diego QS",EDW_FEEDER!$T$2:$AH$86,14,FALSE))=TRUE,"",VLOOKUP("San Diego QS",EDW_FEEDER!$T$2:$AH$86,14,FALSE))</f>
        <v>116.7</v>
      </c>
      <c r="I39" s="251">
        <f>IF(ISNA(VLOOKUP("San Diego QS",EDW_FEEDER!$T$2:$AH$86,15,FALSE))=TRUE,"",VLOOKUP("San Diego QS",EDW_FEEDER!$T$2:$AH$86,15,FALSE))</f>
        <v>119.6</v>
      </c>
      <c r="J39" s="105"/>
      <c r="K39" s="105"/>
      <c r="L39" s="105"/>
      <c r="M39" s="105"/>
      <c r="N39" s="49"/>
      <c r="O39" s="49"/>
      <c r="P39" s="49"/>
    </row>
    <row r="40" spans="1:16" x14ac:dyDescent="0.2">
      <c r="B40" s="213" t="s">
        <v>97</v>
      </c>
      <c r="C40" s="250">
        <f>IF(ISNA(VLOOKUP("Winston-Salem QS",EDW_FEEDER!$T$2:$AH$86,9,FALSE))=TRUE,"",VLOOKUP("Winston-Salem QS",EDW_FEEDER!$T$2:$AH$86,9,FALSE))</f>
        <v>4105</v>
      </c>
      <c r="D40" s="251">
        <f>IF(ISNA(VLOOKUP("Winston-Salem QS",EDW_FEEDER!$T$2:$AH$86,10,FALSE))=TRUE,"",VLOOKUP("Winston-Salem QS",EDW_FEEDER!$T$2:$AH$86,10,FALSE))</f>
        <v>88.2</v>
      </c>
      <c r="E40" s="252">
        <f>IF(ISNA(VLOOKUP("Winston-Salem QS",EDW_FEEDER!$T$2:$AH$86,11,FALSE))=TRUE,"",VLOOKUP("Winston-Salem QS",EDW_FEEDER!$T$2:$AH$86,11,FALSE))</f>
        <v>0.23458999999999999</v>
      </c>
      <c r="F40" s="250">
        <f>IF(ISNA(VLOOKUP("Winston-Salem QS",EDW_FEEDER!$T$2:$AH$86,12,FALSE))=TRUE,"",VLOOKUP("Winston-Salem QS",EDW_FEEDER!$T$2:$AH$86,12,FALSE))</f>
        <v>676</v>
      </c>
      <c r="G40" s="250">
        <f>IF(ISNA(VLOOKUP("Winston-Salem QS",EDW_FEEDER!$T$2:$AH$86,13,FALSE))=TRUE,"",VLOOKUP("Winston-Salem QS",EDW_FEEDER!$T$2:$AH$86,13,FALSE))</f>
        <v>6538</v>
      </c>
      <c r="H40" s="251">
        <f>IF(ISNA(VLOOKUP("Winston-Salem QS",EDW_FEEDER!$T$2:$AH$86,14,FALSE))=TRUE,"",VLOOKUP("Winston-Salem QS",EDW_FEEDER!$T$2:$AH$870,14,FALSE))</f>
        <v>162</v>
      </c>
      <c r="I40" s="251">
        <f>IF(ISNA(VLOOKUP("Winston-Salem QS",EDW_FEEDER!$T$2:$AH$86,15,FALSE))=TRUE,"",VLOOKUP("Winston-Salem QS",EDW_FEEDER!$T$2:$AH$86,15,FALSE))</f>
        <v>151.30000000000001</v>
      </c>
      <c r="J40" s="105"/>
      <c r="K40" s="105"/>
      <c r="L40" s="105"/>
      <c r="M40" s="105"/>
      <c r="N40" s="87"/>
      <c r="O40" s="88"/>
      <c r="P40" s="88"/>
    </row>
    <row r="41" spans="1:16" x14ac:dyDescent="0.2">
      <c r="B41" s="115" t="s">
        <v>432</v>
      </c>
      <c r="C41" s="250">
        <f>IF(ISNA(VLOOKUP(B41,EDW_FEEDER!$T$2:$AH$86,9,FALSE))=TRUE,"",VLOOKUP(B41,EDW_FEEDER!$T$2:$AH$86,9,FALSE))</f>
        <v>646</v>
      </c>
      <c r="D41" s="251">
        <f>IF(ISNA(VLOOKUP(B41,EDW_FEEDER!$T$2:$AH$86,10,FALSE))=TRUE,"",VLOOKUP(B41,EDW_FEEDER!$T$2:$AH$86,10,FALSE))</f>
        <v>74.5</v>
      </c>
      <c r="E41" s="252">
        <f>IF(ISNA(VLOOKUP(B41,EDW_FEEDER!$T$2:$AH$86,11,FALSE))=TRUE,"",VLOOKUP(B41,EDW_FEEDER!$T$2:$AH$86,11,FALSE))</f>
        <v>0.18731</v>
      </c>
      <c r="F41" s="250">
        <f>IF(ISNA(VLOOKUP(B41,EDW_FEEDER!$T$2:$AH$86,12,FALSE))=TRUE,"",VLOOKUP(B41,EDW_FEEDER!$T$2:$AH$86,12,FALSE))</f>
        <v>22</v>
      </c>
      <c r="G41" s="250">
        <f>IF(ISNA(VLOOKUP(B41,EDW_FEEDER!$T$2:$AH$86,13,FALSE))=TRUE,"",VLOOKUP(B41,EDW_FEEDER!$T$2:$AH$86,13,FALSE))</f>
        <v>455</v>
      </c>
      <c r="H41" s="251">
        <f>IF(ISNA(VLOOKUP(B41,EDW_FEEDER!$T$2:$AH$86,14,FALSE))=TRUE,"",VLOOKUP(B41,EDW_FEEDER!$T$2:$AH$870,14,FALSE))</f>
        <v>227.5</v>
      </c>
      <c r="I41" s="251">
        <f>IF(ISNA(VLOOKUP(B41,EDW_FEEDER!$T$2:$AH$86,15,FALSE))=TRUE,"",VLOOKUP(B41,EDW_FEEDER!$T$2:$AH$86,15,FALSE))</f>
        <v>206</v>
      </c>
      <c r="J41" s="105"/>
      <c r="K41" s="105"/>
      <c r="L41" s="105"/>
      <c r="M41" s="105"/>
      <c r="N41" s="87"/>
      <c r="O41" s="88"/>
      <c r="P41" s="88"/>
    </row>
    <row r="42" spans="1:16" x14ac:dyDescent="0.2">
      <c r="B42" s="478" t="s">
        <v>299</v>
      </c>
      <c r="C42" s="479"/>
      <c r="D42" s="479"/>
      <c r="E42" s="479"/>
      <c r="F42" s="479"/>
      <c r="G42" s="479"/>
      <c r="H42" s="479"/>
      <c r="I42" s="479"/>
      <c r="J42" s="479"/>
      <c r="K42" s="479"/>
      <c r="L42" s="479"/>
      <c r="M42" s="480"/>
      <c r="N42" s="87"/>
      <c r="O42" s="88"/>
      <c r="P42" s="88"/>
    </row>
    <row r="43" spans="1:16" ht="25.5" x14ac:dyDescent="0.2">
      <c r="B43" s="214" t="s">
        <v>389</v>
      </c>
      <c r="C43" s="250">
        <f>IF(ISNA(VLOOKUP("USAB",EDW_FEEDER!$T$2:$AH$86,9,FALSE))=TRUE,"",VLOOKUP("USAB",EDW_FEEDER!$T$2:$AH$86,9,FALSE))</f>
        <v>9233</v>
      </c>
      <c r="D43" s="251">
        <f>IF(ISNA(VLOOKUP("USAB",EDW_FEEDER!$T$2:$AH$86,10,FALSE))=TRUE,"",VLOOKUP("USAB",EDW_FEEDER!$T$2:$AH$86,10,FALSE))</f>
        <v>87.6</v>
      </c>
      <c r="E43" s="252">
        <f>IF(ISNA(VLOOKUP("USAB",EDW_FEEDER!$T$2:$AH$86,11,FALSE))=TRUE,"",VLOOKUP("USAB",EDW_FEEDER!$T$2:$AH$86,11,FALSE))</f>
        <v>0.21748000000000001</v>
      </c>
      <c r="F43" s="250">
        <f>IF(ISNA(VLOOKUP("USAB",EDW_FEEDER!$T$2:$AH$86,12,FALSE))=TRUE,"",VLOOKUP("USAB",EDW_FEEDER!$T$2:$AH$86,12,FALSE))</f>
        <v>1475</v>
      </c>
      <c r="G43" s="250">
        <f>IF(ISNA(VLOOKUP("USAB",EDW_FEEDER!$T$2:$AH$86,13,FALSE))=TRUE,"",VLOOKUP("USAB",EDW_FEEDER!$T$2:$AH$870,13,FALSE))</f>
        <v>14212</v>
      </c>
      <c r="H43" s="251">
        <f>IF(ISNA(VLOOKUP("USAB",EDW_FEEDER!$T$2:$AH$86,14,FALSE))=TRUE,"",VLOOKUP("USAB",EDW_FEEDER!$T$2:$AH$86,14,FALSE))</f>
        <v>163.5</v>
      </c>
      <c r="I43" s="251">
        <f>IF(ISNA(VLOOKUP("USAB",EDW_FEEDER!$T$2:$AH$86,15,FALSE))=TRUE,"",VLOOKUP("USAB",EDW_FEEDER!$T$2:$AH$86,15,FALSE))</f>
        <v>156.69999999999999</v>
      </c>
      <c r="J43" s="105"/>
      <c r="K43" s="105"/>
      <c r="L43" s="105"/>
      <c r="M43" s="105"/>
      <c r="N43" s="87"/>
      <c r="O43" s="88"/>
      <c r="P43" s="88"/>
    </row>
    <row r="44" spans="1:16" x14ac:dyDescent="0.2">
      <c r="B44" s="213" t="s">
        <v>97</v>
      </c>
      <c r="C44" s="250">
        <f>IF(ISNA(VLOOKUP("Winston-Salem BDD",EDW_FEEDER!$T$2:$AH$86,9,FALSE))=TRUE,"",VLOOKUP("Winston-Salem BDD",EDW_FEEDER!$T$2:$AH$86,9,FALSE))</f>
        <v>4434</v>
      </c>
      <c r="D44" s="251">
        <f>IF(ISNA(VLOOKUP("Winston-Salem BDD",EDW_FEEDER!$T$2:$AH$86,10,FALSE))=TRUE,"",VLOOKUP("Winston-Salem BDD",EDW_FEEDER!$T$2:$AH$86,10,FALSE))</f>
        <v>80.2</v>
      </c>
      <c r="E44" s="252">
        <f>IF(ISNA(VLOOKUP("Winston-Salem BDD",EDW_FEEDER!$T$2:$AH$86,11,FALSE))=TRUE,"",VLOOKUP("Winston-Salem BDD",EDW_FEEDER!$T$2:$AH$86,11,FALSE))</f>
        <v>0.17050000000000001</v>
      </c>
      <c r="F44" s="250">
        <f>IF(ISNA(VLOOKUP("Winston-Salem BDD",EDW_FEEDER!$T$2:$AH$86,12,FALSE))=TRUE,"",VLOOKUP("Winston-Salem BDD",EDW_FEEDER!$T$2:$AH$86,12,FALSE))</f>
        <v>584</v>
      </c>
      <c r="G44" s="250">
        <f>IF(ISNA(VLOOKUP("Winston-Salem BDD",EDW_FEEDER!$T$2:$AH$86,13,FALSE))=TRUE,"",VLOOKUP("Winston-Salem BDD",EDW_FEEDER!$T$2:$AH$870,13,FALSE))</f>
        <v>5292</v>
      </c>
      <c r="H44" s="251">
        <f>IF(ISNA(VLOOKUP("Winston-Salem BDD",EDW_FEEDER!$T$2:$AH$86,14,FALSE))=TRUE,"",VLOOKUP("Winston-Salem BDD",EDW_FEEDER!$T$2:$AH$86,14,FALSE))</f>
        <v>156.69999999999999</v>
      </c>
      <c r="I44" s="251">
        <f>IF(ISNA(VLOOKUP("Winston-Salem BDD",EDW_FEEDER!$T$2:$AH$86,15,FALSE))=TRUE,"",VLOOKUP("Winston-Salem BDD",EDW_FEEDER!$T$2:$AH$86,15,FALSE))</f>
        <v>121.9</v>
      </c>
      <c r="J44" s="105"/>
      <c r="K44" s="105"/>
      <c r="L44" s="105"/>
      <c r="M44" s="105"/>
    </row>
    <row r="45" spans="1:16" x14ac:dyDescent="0.2">
      <c r="B45" s="213" t="s">
        <v>84</v>
      </c>
      <c r="C45" s="250">
        <f>IF(ISNA(VLOOKUP("Salt Lake City BDD",EDW_FEEDER!$T$2:$AH$86,9,FALSE))=TRUE,"",VLOOKUP("Salt Lake City BDD",EDW_FEEDER!$T$2:$AH$86,9,FALSE))</f>
        <v>4010</v>
      </c>
      <c r="D45" s="251">
        <f>IF(ISNA(VLOOKUP("Salt Lake City BDD",EDW_FEEDER!$T$2:$AH$86,10,FALSE))=TRUE,"",VLOOKUP("Salt Lake City BDD",EDW_FEEDER!$T$2:$AH$86,10,FALSE))</f>
        <v>93.9</v>
      </c>
      <c r="E45" s="252">
        <f>IF(ISNA(VLOOKUP("Salt Lake City BDD",EDW_FEEDER!$T$2:$AH$86,11,FALSE))=TRUE,"",VLOOKUP("Salt Lake City BDD",EDW_FEEDER!$T$2:$AH$86,11,FALSE))</f>
        <v>0.26135000000000003</v>
      </c>
      <c r="F45" s="250">
        <f>IF(ISNA(VLOOKUP("Salt Lake City BDD",EDW_FEEDER!$T$2:$AH$86,12,FALSE))=TRUE,"",VLOOKUP("Salt Lake City BDD",EDW_FEEDER!$T$2:$AH$86,12,FALSE))</f>
        <v>805</v>
      </c>
      <c r="G45" s="250">
        <f>IF(ISNA(VLOOKUP("Salt Lake City BDD",EDW_FEEDER!$T$2:$AH$86,13,FALSE))=TRUE,"",VLOOKUP("Salt Lake City BDD",EDW_FEEDER!$T$2:$AH$86,13,FALSE))</f>
        <v>7706</v>
      </c>
      <c r="H45" s="251">
        <f>IF(ISNA(VLOOKUP("Salt Lake City BDD",EDW_FEEDER!$T$2:$AH$86,14,FALSE))=TRUE,"",VLOOKUP("Salt Lake City BDD",EDW_FEEDER!$T$2:$AH$870,14,FALSE))</f>
        <v>171.3</v>
      </c>
      <c r="I45" s="251">
        <f>IF(ISNA(VLOOKUP("Salt Lake City BDD",EDW_FEEDER!$T$2:$AH$86,15,FALSE))=TRUE,"",VLOOKUP("Salt Lake City BDD",EDW_FEEDER!$T$2:$AH$86,15,FALSE))</f>
        <v>181.1</v>
      </c>
      <c r="J45" s="105"/>
      <c r="K45" s="105"/>
      <c r="L45" s="105"/>
      <c r="M45" s="105"/>
    </row>
    <row r="46" spans="1:16" ht="25.5" x14ac:dyDescent="0.2">
      <c r="B46" s="256" t="s">
        <v>434</v>
      </c>
      <c r="C46" s="250">
        <f>IF(ISNA(VLOOKUP(B46,EDW_FEEDER!$T$2:$AH$86,9,FALSE))=TRUE,"",VLOOKUP(B46,EDW_FEEDER!$T$2:$AH$86,9,FALSE))</f>
        <v>789</v>
      </c>
      <c r="D46" s="251">
        <f>IF(ISNA(VLOOKUP(B46,EDW_FEEDER!$T$2:$AH$86,10,FALSE))=TRUE,"",VLOOKUP(B46,EDW_FEEDER!$T$2:$AH$86,10,FALSE))</f>
        <v>97</v>
      </c>
      <c r="E46" s="252">
        <f>IF(ISNA(VLOOKUP(B46,EDW_FEEDER!$T$2:$AH$86,11,FALSE))=TRUE,"",VLOOKUP(B46,EDW_FEEDER!$T$2:$AH$86,11,FALSE))</f>
        <v>0.25856000000000001</v>
      </c>
      <c r="F46" s="250">
        <f>IF(ISNA(VLOOKUP(B46,EDW_FEEDER!$T$2:$AH$86,12,FALSE))=TRUE,"",VLOOKUP(B46,EDW_FEEDER!$T$2:$AH$86,12,FALSE))</f>
        <v>86</v>
      </c>
      <c r="G46" s="250">
        <f>IF(ISNA(VLOOKUP(B46,EDW_FEEDER!$T$2:$AH$86,13,FALSE))=TRUE,"",VLOOKUP(B46,EDW_FEEDER!$T$2:$AH$86,13,FALSE))</f>
        <v>1214</v>
      </c>
      <c r="H46" s="251">
        <f>IF(ISNA(VLOOKUP(B46,EDW_FEEDER!$T$2:$AH$86,14,FALSE))=TRUE,"",VLOOKUP(B46,EDW_FEEDER!$T$2:$AH$870,14,FALSE))</f>
        <v>136.30000000000001</v>
      </c>
      <c r="I46" s="251">
        <f>IF(ISNA(VLOOKUP(B46,EDW_FEEDER!$T$2:$AH$86,15,FALSE))=TRUE,"",VLOOKUP(B46,EDW_FEEDER!$T$2:$AH$86,15,FALSE))</f>
        <v>154</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0" priority="2" stopIfTrue="1">
      <formula>ISERROR(B14)</formula>
    </cfRule>
  </conditionalFormatting>
  <conditionalFormatting sqref="B36">
    <cfRule type="expression" dxfId="89"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12" t="s">
        <v>394</v>
      </c>
      <c r="D2" s="513"/>
      <c r="E2" s="513"/>
      <c r="F2" s="513"/>
      <c r="G2" s="513"/>
      <c r="H2" s="513"/>
      <c r="I2" s="513"/>
      <c r="J2" s="513"/>
      <c r="K2" s="513"/>
      <c r="L2" s="513"/>
      <c r="M2" s="513"/>
      <c r="N2" s="513"/>
      <c r="O2" s="513"/>
      <c r="P2" s="513"/>
      <c r="Q2" s="513"/>
      <c r="R2" s="513"/>
      <c r="S2" s="514"/>
      <c r="T2" s="178"/>
    </row>
    <row r="3" spans="2:20" ht="63" customHeight="1" thickBot="1" x14ac:dyDescent="0.45">
      <c r="C3" s="532" t="s">
        <v>446</v>
      </c>
      <c r="D3" s="533"/>
      <c r="E3" s="533"/>
      <c r="F3" s="533"/>
      <c r="G3" s="533"/>
      <c r="H3" s="533"/>
      <c r="I3" s="533"/>
      <c r="J3" s="533"/>
      <c r="K3" s="533"/>
      <c r="L3" s="533"/>
      <c r="M3" s="533"/>
      <c r="N3" s="533"/>
      <c r="O3" s="533"/>
      <c r="P3" s="533"/>
      <c r="Q3" s="533"/>
      <c r="R3" s="533"/>
      <c r="S3" s="534"/>
      <c r="T3" s="178"/>
    </row>
    <row r="4" spans="2:20" ht="32.25" customHeight="1" thickBot="1" x14ac:dyDescent="0.45">
      <c r="C4" s="529" t="s">
        <v>469</v>
      </c>
      <c r="D4" s="530"/>
      <c r="E4" s="530"/>
      <c r="F4" s="530"/>
      <c r="G4" s="530"/>
      <c r="H4" s="530"/>
      <c r="I4" s="530"/>
      <c r="J4" s="530"/>
      <c r="K4" s="530"/>
      <c r="L4" s="530"/>
      <c r="M4" s="530"/>
      <c r="N4" s="530"/>
      <c r="O4" s="530"/>
      <c r="P4" s="530"/>
      <c r="Q4" s="530"/>
      <c r="R4" s="530"/>
      <c r="S4" s="531"/>
      <c r="T4" s="178"/>
    </row>
    <row r="5" spans="2:20" ht="27" customHeight="1" thickBot="1" x14ac:dyDescent="0.45">
      <c r="B5" s="25"/>
      <c r="C5" s="526" t="s">
        <v>309</v>
      </c>
      <c r="D5" s="527"/>
      <c r="E5" s="527"/>
      <c r="F5" s="527"/>
      <c r="G5" s="527"/>
      <c r="H5" s="527"/>
      <c r="I5" s="528"/>
      <c r="J5" s="262"/>
      <c r="K5" s="526" t="s">
        <v>306</v>
      </c>
      <c r="L5" s="527"/>
      <c r="M5" s="527"/>
      <c r="N5" s="527"/>
      <c r="O5" s="528"/>
      <c r="P5" s="167"/>
      <c r="Q5" s="526" t="s">
        <v>316</v>
      </c>
      <c r="R5" s="527"/>
      <c r="S5" s="528"/>
    </row>
    <row r="6" spans="2:20" ht="65.25" customHeight="1" thickBot="1" x14ac:dyDescent="0.25">
      <c r="B6" s="5"/>
      <c r="C6" s="515" t="s">
        <v>355</v>
      </c>
      <c r="D6" s="516"/>
      <c r="E6" s="516"/>
      <c r="F6" s="517"/>
      <c r="G6" s="260" t="s">
        <v>13</v>
      </c>
      <c r="H6" s="261" t="s">
        <v>4</v>
      </c>
      <c r="I6" s="263" t="s">
        <v>5</v>
      </c>
      <c r="J6" s="5"/>
      <c r="K6" s="551" t="s">
        <v>355</v>
      </c>
      <c r="L6" s="552"/>
      <c r="M6" s="257" t="s">
        <v>13</v>
      </c>
      <c r="N6" s="258" t="s">
        <v>4</v>
      </c>
      <c r="O6" s="259" t="s">
        <v>5</v>
      </c>
      <c r="P6" s="133"/>
      <c r="Q6" s="547" t="s">
        <v>355</v>
      </c>
      <c r="R6" s="548"/>
      <c r="S6" s="257" t="s">
        <v>13</v>
      </c>
    </row>
    <row r="7" spans="2:20" ht="32.25" customHeight="1" thickBot="1" x14ac:dyDescent="0.25">
      <c r="B7" s="5"/>
      <c r="C7" s="521" t="s">
        <v>396</v>
      </c>
      <c r="D7" s="522"/>
      <c r="E7" s="522"/>
      <c r="F7" s="522"/>
      <c r="G7" s="221">
        <v>154050</v>
      </c>
      <c r="H7" s="222">
        <v>68180</v>
      </c>
      <c r="I7" s="223">
        <v>0.44258357676079196</v>
      </c>
      <c r="J7" s="5"/>
      <c r="K7" s="521" t="s">
        <v>338</v>
      </c>
      <c r="L7" s="522"/>
      <c r="M7" s="222">
        <v>23487</v>
      </c>
      <c r="N7" s="222">
        <v>2245</v>
      </c>
      <c r="O7" s="226">
        <v>9.5584791586835277E-2</v>
      </c>
      <c r="P7" s="172"/>
      <c r="Q7" s="521" t="s">
        <v>317</v>
      </c>
      <c r="R7" s="522"/>
      <c r="S7" s="229">
        <v>297743</v>
      </c>
    </row>
    <row r="8" spans="2:20" ht="51" customHeight="1" x14ac:dyDescent="0.2">
      <c r="B8" s="5"/>
      <c r="C8" s="544" t="s">
        <v>322</v>
      </c>
      <c r="D8" s="545"/>
      <c r="E8" s="545"/>
      <c r="F8" s="546"/>
      <c r="G8" s="166">
        <v>368</v>
      </c>
      <c r="H8" s="161">
        <v>248</v>
      </c>
      <c r="I8" s="232">
        <v>0.67391304347826086</v>
      </c>
      <c r="J8" s="5"/>
      <c r="K8" s="549" t="s">
        <v>340</v>
      </c>
      <c r="L8" s="550"/>
      <c r="M8" s="175">
        <v>5107</v>
      </c>
      <c r="N8" s="176">
        <v>258</v>
      </c>
      <c r="O8" s="177">
        <v>5.0518895633444291E-2</v>
      </c>
      <c r="P8" s="285" t="s">
        <v>445</v>
      </c>
      <c r="Q8" s="518" t="s">
        <v>310</v>
      </c>
      <c r="R8" s="519"/>
      <c r="S8" s="208">
        <v>203655</v>
      </c>
    </row>
    <row r="9" spans="2:20" ht="45" customHeight="1" x14ac:dyDescent="0.2">
      <c r="B9" s="5"/>
      <c r="C9" s="544" t="s">
        <v>320</v>
      </c>
      <c r="D9" s="545"/>
      <c r="E9" s="545"/>
      <c r="F9" s="546"/>
      <c r="G9" s="129">
        <v>45438</v>
      </c>
      <c r="H9" s="125">
        <v>20716</v>
      </c>
      <c r="I9" s="126">
        <v>0.45591795413530523</v>
      </c>
      <c r="J9" s="285" t="s">
        <v>445</v>
      </c>
      <c r="K9" s="544" t="s">
        <v>339</v>
      </c>
      <c r="L9" s="545"/>
      <c r="M9" s="129">
        <v>6440</v>
      </c>
      <c r="N9" s="125">
        <v>323</v>
      </c>
      <c r="O9" s="158">
        <v>5.0155279503105589E-2</v>
      </c>
      <c r="P9" s="285" t="s">
        <v>445</v>
      </c>
      <c r="Q9" s="518" t="s">
        <v>291</v>
      </c>
      <c r="R9" s="519"/>
      <c r="S9" s="209">
        <v>404.7</v>
      </c>
    </row>
    <row r="10" spans="2:20" ht="63" customHeight="1" thickBot="1" x14ac:dyDescent="0.25">
      <c r="B10" s="5"/>
      <c r="C10" s="544" t="s">
        <v>321</v>
      </c>
      <c r="D10" s="545"/>
      <c r="E10" s="545"/>
      <c r="F10" s="546"/>
      <c r="G10" s="129">
        <v>108244</v>
      </c>
      <c r="H10" s="129">
        <v>47216</v>
      </c>
      <c r="I10" s="131">
        <v>0.436199696980895</v>
      </c>
      <c r="J10" s="285" t="s">
        <v>445</v>
      </c>
      <c r="K10" s="518" t="s">
        <v>341</v>
      </c>
      <c r="L10" s="519"/>
      <c r="M10" s="129">
        <v>11940</v>
      </c>
      <c r="N10" s="125">
        <v>1664</v>
      </c>
      <c r="O10" s="158">
        <v>0.13936348408710217</v>
      </c>
      <c r="P10" s="173"/>
      <c r="Q10" s="518" t="s">
        <v>311</v>
      </c>
      <c r="R10" s="519"/>
      <c r="S10" s="209">
        <v>21276</v>
      </c>
    </row>
    <row r="11" spans="2:20" ht="45" customHeight="1" thickBot="1" x14ac:dyDescent="0.25">
      <c r="B11" s="5"/>
      <c r="C11" s="521" t="s">
        <v>397</v>
      </c>
      <c r="D11" s="522"/>
      <c r="E11" s="522"/>
      <c r="F11" s="522"/>
      <c r="G11" s="221">
        <v>7382</v>
      </c>
      <c r="H11" s="224">
        <v>1324</v>
      </c>
      <c r="I11" s="225">
        <v>0.17935518829585478</v>
      </c>
      <c r="J11" s="5"/>
      <c r="K11" s="521" t="s">
        <v>307</v>
      </c>
      <c r="L11" s="522"/>
      <c r="M11" s="221">
        <v>41776</v>
      </c>
      <c r="N11" s="221">
        <v>5078</v>
      </c>
      <c r="O11" s="227">
        <v>0.12155304481041747</v>
      </c>
      <c r="P11" s="173"/>
      <c r="Q11" s="518" t="s">
        <v>312</v>
      </c>
      <c r="R11" s="520"/>
      <c r="S11" s="209">
        <v>58318</v>
      </c>
    </row>
    <row r="12" spans="2:20" ht="46.5" customHeight="1" x14ac:dyDescent="0.2">
      <c r="B12" s="5"/>
      <c r="C12" s="523" t="s">
        <v>343</v>
      </c>
      <c r="D12" s="524"/>
      <c r="E12" s="524"/>
      <c r="F12" s="525"/>
      <c r="G12" s="129">
        <v>6923</v>
      </c>
      <c r="H12" s="125">
        <v>893</v>
      </c>
      <c r="I12" s="126">
        <v>0.12899032211469016</v>
      </c>
      <c r="J12" s="285" t="s">
        <v>445</v>
      </c>
      <c r="K12" s="518" t="s">
        <v>333</v>
      </c>
      <c r="L12" s="520"/>
      <c r="M12" s="157">
        <v>729</v>
      </c>
      <c r="N12" s="157">
        <v>18</v>
      </c>
      <c r="O12" s="169">
        <v>2.4691358024691357E-2</v>
      </c>
      <c r="P12" s="173"/>
      <c r="Q12" s="518" t="s">
        <v>292</v>
      </c>
      <c r="R12" s="520"/>
      <c r="S12" s="209">
        <v>631</v>
      </c>
    </row>
    <row r="13" spans="2:20" ht="49.5" customHeight="1" thickBot="1" x14ac:dyDescent="0.25">
      <c r="B13" s="5"/>
      <c r="C13" s="523" t="s">
        <v>323</v>
      </c>
      <c r="D13" s="524"/>
      <c r="E13" s="524"/>
      <c r="F13" s="525"/>
      <c r="G13" s="129">
        <v>459</v>
      </c>
      <c r="H13" s="125">
        <v>431</v>
      </c>
      <c r="I13" s="126">
        <v>0.93899782135076248</v>
      </c>
      <c r="J13" s="5"/>
      <c r="K13" s="518" t="s">
        <v>342</v>
      </c>
      <c r="L13" s="520"/>
      <c r="M13" s="157">
        <v>3725</v>
      </c>
      <c r="N13" s="157">
        <v>540</v>
      </c>
      <c r="O13" s="170">
        <v>0.14496644295302014</v>
      </c>
      <c r="P13" s="173"/>
      <c r="Q13" s="518" t="s">
        <v>313</v>
      </c>
      <c r="R13" s="520"/>
      <c r="S13" s="209">
        <v>22052</v>
      </c>
    </row>
    <row r="14" spans="2:20" ht="45" customHeight="1" thickBot="1" x14ac:dyDescent="0.25">
      <c r="B14" s="5"/>
      <c r="C14" s="521" t="s">
        <v>1</v>
      </c>
      <c r="D14" s="522"/>
      <c r="E14" s="522"/>
      <c r="F14" s="522"/>
      <c r="G14" s="221">
        <v>263646</v>
      </c>
      <c r="H14" s="224">
        <v>104566</v>
      </c>
      <c r="I14" s="225">
        <v>0.39661515820456217</v>
      </c>
      <c r="J14" s="5"/>
      <c r="K14" s="518" t="s">
        <v>344</v>
      </c>
      <c r="L14" s="520"/>
      <c r="M14" s="157">
        <v>15678</v>
      </c>
      <c r="N14" s="157">
        <v>1413</v>
      </c>
      <c r="O14" s="170">
        <v>9.012629161882893E-2</v>
      </c>
      <c r="P14" s="173"/>
      <c r="Q14" s="518" t="s">
        <v>293</v>
      </c>
      <c r="R14" s="520"/>
      <c r="S14" s="209">
        <v>541.79999999999995</v>
      </c>
    </row>
    <row r="15" spans="2:20" ht="44.25" customHeight="1" x14ac:dyDescent="0.2">
      <c r="B15" s="5"/>
      <c r="C15" s="544" t="s">
        <v>324</v>
      </c>
      <c r="D15" s="545"/>
      <c r="E15" s="545"/>
      <c r="F15" s="546"/>
      <c r="G15" s="129">
        <v>262652</v>
      </c>
      <c r="H15" s="125">
        <v>104260</v>
      </c>
      <c r="I15" s="126">
        <v>0.39695109879231838</v>
      </c>
      <c r="J15" s="285" t="s">
        <v>445</v>
      </c>
      <c r="K15" s="518" t="s">
        <v>345</v>
      </c>
      <c r="L15" s="520"/>
      <c r="M15" s="157">
        <v>1</v>
      </c>
      <c r="N15" s="157">
        <v>1</v>
      </c>
      <c r="O15" s="170">
        <v>1</v>
      </c>
      <c r="P15" s="173"/>
      <c r="Q15" s="518" t="s">
        <v>314</v>
      </c>
      <c r="R15" s="520"/>
      <c r="S15" s="209">
        <v>13278</v>
      </c>
    </row>
    <row r="16" spans="2:20" ht="57.75" customHeight="1" x14ac:dyDescent="0.2">
      <c r="B16" s="5"/>
      <c r="C16" s="518" t="s">
        <v>325</v>
      </c>
      <c r="D16" s="519"/>
      <c r="E16" s="519"/>
      <c r="F16" s="520"/>
      <c r="G16" s="129">
        <v>734</v>
      </c>
      <c r="H16" s="125">
        <v>101</v>
      </c>
      <c r="I16" s="126">
        <v>0.13760217983651227</v>
      </c>
      <c r="J16" s="285" t="s">
        <v>445</v>
      </c>
      <c r="K16" s="518" t="s">
        <v>346</v>
      </c>
      <c r="L16" s="520"/>
      <c r="M16" s="157">
        <v>4358</v>
      </c>
      <c r="N16" s="157">
        <v>1606</v>
      </c>
      <c r="O16" s="170">
        <v>0.36851766865534646</v>
      </c>
      <c r="P16" s="173"/>
      <c r="Q16" s="518" t="s">
        <v>294</v>
      </c>
      <c r="R16" s="520"/>
      <c r="S16" s="209">
        <v>174.1</v>
      </c>
    </row>
    <row r="17" spans="2:26" ht="31.5" customHeight="1" thickBot="1" x14ac:dyDescent="0.25">
      <c r="B17" s="5"/>
      <c r="C17" s="518" t="s">
        <v>326</v>
      </c>
      <c r="D17" s="519"/>
      <c r="E17" s="519"/>
      <c r="F17" s="520"/>
      <c r="G17" s="129">
        <v>143</v>
      </c>
      <c r="H17" s="125">
        <v>132</v>
      </c>
      <c r="I17" s="126">
        <v>0.92307692307692313</v>
      </c>
      <c r="J17" s="5"/>
      <c r="K17" s="518" t="s">
        <v>347</v>
      </c>
      <c r="L17" s="520"/>
      <c r="M17" s="157">
        <v>17285</v>
      </c>
      <c r="N17" s="157">
        <v>1500</v>
      </c>
      <c r="O17" s="171">
        <v>8.6780445472953424E-2</v>
      </c>
      <c r="P17" s="154"/>
      <c r="Q17" s="518" t="s">
        <v>422</v>
      </c>
      <c r="R17" s="520"/>
      <c r="S17" s="209">
        <v>440</v>
      </c>
    </row>
    <row r="18" spans="2:26" ht="32.25" customHeight="1" thickBot="1" x14ac:dyDescent="0.25">
      <c r="B18" s="5"/>
      <c r="C18" s="518" t="s">
        <v>327</v>
      </c>
      <c r="D18" s="519"/>
      <c r="E18" s="519"/>
      <c r="F18" s="520"/>
      <c r="G18" s="129">
        <v>104</v>
      </c>
      <c r="H18" s="125">
        <v>69</v>
      </c>
      <c r="I18" s="126">
        <v>0.66346153846153844</v>
      </c>
      <c r="J18" s="285" t="s">
        <v>445</v>
      </c>
      <c r="K18" s="521" t="s">
        <v>18</v>
      </c>
      <c r="L18" s="522"/>
      <c r="M18" s="221">
        <v>3485</v>
      </c>
      <c r="N18" s="221">
        <v>3444</v>
      </c>
      <c r="O18" s="227">
        <v>0.9882352941176471</v>
      </c>
      <c r="P18" s="174"/>
      <c r="Q18" s="521" t="s">
        <v>318</v>
      </c>
      <c r="R18" s="522"/>
      <c r="S18" s="230">
        <v>15948</v>
      </c>
    </row>
    <row r="19" spans="2:26" ht="41.25" customHeight="1" thickBot="1" x14ac:dyDescent="0.45">
      <c r="B19" s="5"/>
      <c r="C19" s="518" t="s">
        <v>328</v>
      </c>
      <c r="D19" s="519"/>
      <c r="E19" s="519"/>
      <c r="F19" s="520"/>
      <c r="G19" s="129">
        <v>1</v>
      </c>
      <c r="H19" s="125">
        <v>1</v>
      </c>
      <c r="I19" s="126">
        <v>1</v>
      </c>
      <c r="J19" s="285" t="s">
        <v>445</v>
      </c>
      <c r="K19" s="518" t="s">
        <v>348</v>
      </c>
      <c r="L19" s="520"/>
      <c r="M19" s="157">
        <v>3273</v>
      </c>
      <c r="N19" s="157">
        <v>3262</v>
      </c>
      <c r="O19" s="158">
        <v>0.99663916895814242</v>
      </c>
      <c r="P19" s="46"/>
      <c r="Q19" s="521" t="s">
        <v>319</v>
      </c>
      <c r="R19" s="522"/>
      <c r="S19" s="231">
        <v>8110</v>
      </c>
    </row>
    <row r="20" spans="2:26" ht="40.5" customHeight="1" x14ac:dyDescent="0.4">
      <c r="B20" s="5"/>
      <c r="C20" s="518" t="s">
        <v>329</v>
      </c>
      <c r="D20" s="519"/>
      <c r="E20" s="519"/>
      <c r="F20" s="520"/>
      <c r="G20" s="129">
        <v>11</v>
      </c>
      <c r="H20" s="125">
        <v>2</v>
      </c>
      <c r="I20" s="126">
        <v>0.18181818181818182</v>
      </c>
      <c r="J20" s="285" t="s">
        <v>445</v>
      </c>
      <c r="K20" s="518" t="s">
        <v>395</v>
      </c>
      <c r="L20" s="520"/>
      <c r="M20" s="157">
        <v>207</v>
      </c>
      <c r="N20" s="157">
        <v>179</v>
      </c>
      <c r="O20" s="158">
        <v>0.86473429951690817</v>
      </c>
      <c r="P20" s="46"/>
      <c r="Q20" s="46"/>
      <c r="R20" s="46"/>
      <c r="S20" s="179"/>
    </row>
    <row r="21" spans="2:26" ht="39" customHeight="1" thickBot="1" x14ac:dyDescent="0.45">
      <c r="B21" s="5"/>
      <c r="C21" s="518" t="s">
        <v>330</v>
      </c>
      <c r="D21" s="519"/>
      <c r="E21" s="519"/>
      <c r="F21" s="520"/>
      <c r="G21" s="129">
        <v>1</v>
      </c>
      <c r="H21" s="125">
        <v>1</v>
      </c>
      <c r="I21" s="131">
        <v>1</v>
      </c>
      <c r="J21" s="285" t="s">
        <v>445</v>
      </c>
      <c r="K21" s="518" t="s">
        <v>349</v>
      </c>
      <c r="L21" s="520"/>
      <c r="M21" s="157">
        <v>5</v>
      </c>
      <c r="N21" s="157">
        <v>3</v>
      </c>
      <c r="O21" s="158">
        <v>0.6</v>
      </c>
      <c r="P21" s="46"/>
      <c r="Q21" s="46"/>
      <c r="R21" s="46"/>
      <c r="S21" s="179"/>
    </row>
    <row r="22" spans="2:26" ht="32.25" customHeight="1" thickBot="1" x14ac:dyDescent="0.45">
      <c r="B22" s="5"/>
      <c r="C22" s="521" t="s">
        <v>16</v>
      </c>
      <c r="D22" s="522"/>
      <c r="E22" s="522"/>
      <c r="F22" s="522"/>
      <c r="G22" s="221">
        <v>485276</v>
      </c>
      <c r="H22" s="221">
        <v>330752</v>
      </c>
      <c r="I22" s="226">
        <v>0.68157502122503477</v>
      </c>
      <c r="J22" s="5"/>
      <c r="K22" s="521" t="s">
        <v>279</v>
      </c>
      <c r="L22" s="522"/>
      <c r="M22" s="221">
        <v>4351</v>
      </c>
      <c r="N22" s="221">
        <v>613</v>
      </c>
      <c r="O22" s="227">
        <v>0.14088715237876351</v>
      </c>
      <c r="P22" s="46"/>
      <c r="Q22" s="46"/>
      <c r="R22" s="46"/>
      <c r="S22" s="179"/>
    </row>
    <row r="23" spans="2:26" ht="26.25" customHeight="1" x14ac:dyDescent="0.4">
      <c r="B23" s="5"/>
      <c r="C23" s="523" t="s">
        <v>331</v>
      </c>
      <c r="D23" s="524"/>
      <c r="E23" s="524"/>
      <c r="F23" s="525"/>
      <c r="G23" s="162">
        <v>244586</v>
      </c>
      <c r="H23" s="157">
        <v>185697</v>
      </c>
      <c r="I23" s="158">
        <v>0.75922988233177702</v>
      </c>
      <c r="J23" s="5"/>
      <c r="K23" s="518" t="s">
        <v>352</v>
      </c>
      <c r="L23" s="520"/>
      <c r="M23" s="157">
        <v>3478</v>
      </c>
      <c r="N23" s="157">
        <v>319</v>
      </c>
      <c r="O23" s="158">
        <v>9.1719378953421513E-2</v>
      </c>
      <c r="P23" s="46"/>
      <c r="Q23" s="46"/>
      <c r="R23" s="46"/>
      <c r="S23" s="179"/>
    </row>
    <row r="24" spans="2:26" ht="39.75" customHeight="1" x14ac:dyDescent="0.4">
      <c r="B24" s="5"/>
      <c r="C24" s="523" t="s">
        <v>332</v>
      </c>
      <c r="D24" s="524"/>
      <c r="E24" s="524"/>
      <c r="F24" s="525"/>
      <c r="G24" s="162">
        <v>261</v>
      </c>
      <c r="H24" s="157">
        <v>176</v>
      </c>
      <c r="I24" s="158">
        <v>0.67432950191570884</v>
      </c>
      <c r="J24" s="5"/>
      <c r="K24" s="518" t="s">
        <v>351</v>
      </c>
      <c r="L24" s="520"/>
      <c r="M24" s="157">
        <v>296</v>
      </c>
      <c r="N24" s="157">
        <v>17</v>
      </c>
      <c r="O24" s="158">
        <v>5.7432432432432436E-2</v>
      </c>
      <c r="P24" s="46"/>
      <c r="Q24" s="46"/>
      <c r="R24" s="46"/>
      <c r="S24" s="179"/>
    </row>
    <row r="25" spans="2:26" ht="37.5" customHeight="1" x14ac:dyDescent="0.4">
      <c r="B25" s="5"/>
      <c r="C25" s="523" t="s">
        <v>333</v>
      </c>
      <c r="D25" s="524"/>
      <c r="E25" s="524"/>
      <c r="F25" s="525"/>
      <c r="G25" s="162">
        <v>242</v>
      </c>
      <c r="H25" s="157">
        <v>185</v>
      </c>
      <c r="I25" s="158">
        <v>0.76446280991735538</v>
      </c>
      <c r="J25" s="5"/>
      <c r="K25" s="518" t="s">
        <v>350</v>
      </c>
      <c r="L25" s="520"/>
      <c r="M25" s="157">
        <v>541</v>
      </c>
      <c r="N25" s="157">
        <v>257</v>
      </c>
      <c r="O25" s="158">
        <v>0.47504621072088726</v>
      </c>
      <c r="P25" s="46"/>
      <c r="Q25" s="46"/>
      <c r="R25" s="46"/>
      <c r="S25" s="179"/>
    </row>
    <row r="26" spans="2:26" ht="37.5" customHeight="1" thickBot="1" x14ac:dyDescent="0.45">
      <c r="B26" s="5"/>
      <c r="C26" s="523" t="s">
        <v>334</v>
      </c>
      <c r="D26" s="524"/>
      <c r="E26" s="524"/>
      <c r="F26" s="525"/>
      <c r="G26" s="162">
        <v>120950</v>
      </c>
      <c r="H26" s="157">
        <v>86504</v>
      </c>
      <c r="I26" s="158">
        <v>0.71520463001240187</v>
      </c>
      <c r="J26" s="167"/>
      <c r="K26" s="535" t="s">
        <v>448</v>
      </c>
      <c r="L26" s="536"/>
      <c r="M26" s="286">
        <v>36</v>
      </c>
      <c r="N26" s="286">
        <v>20</v>
      </c>
      <c r="O26" s="287">
        <v>0.55555555555555558</v>
      </c>
      <c r="P26" s="46"/>
      <c r="Q26" s="46"/>
      <c r="R26" s="46"/>
      <c r="S26" s="179"/>
    </row>
    <row r="27" spans="2:26" ht="26.25" customHeight="1" x14ac:dyDescent="0.4">
      <c r="B27" s="5"/>
      <c r="C27" s="523" t="s">
        <v>335</v>
      </c>
      <c r="D27" s="524"/>
      <c r="E27" s="524"/>
      <c r="F27" s="525"/>
      <c r="G27" s="162">
        <v>27</v>
      </c>
      <c r="H27" s="157">
        <v>25</v>
      </c>
      <c r="I27" s="158">
        <v>0.92592592592592593</v>
      </c>
      <c r="J27" s="167"/>
      <c r="K27" s="167"/>
      <c r="L27" s="167"/>
      <c r="M27" s="167"/>
      <c r="N27" s="46"/>
      <c r="O27" s="46"/>
      <c r="P27" s="46"/>
      <c r="Q27" s="46"/>
      <c r="R27" s="46"/>
      <c r="S27" s="179"/>
    </row>
    <row r="28" spans="2:26" ht="32.25" customHeight="1" thickBot="1" x14ac:dyDescent="0.45">
      <c r="B28" s="5"/>
      <c r="C28" s="523" t="s">
        <v>336</v>
      </c>
      <c r="D28" s="524"/>
      <c r="E28" s="524"/>
      <c r="F28" s="525"/>
      <c r="G28" s="129">
        <v>14736</v>
      </c>
      <c r="H28" s="125">
        <v>3197</v>
      </c>
      <c r="I28" s="126">
        <v>0.21695168295331163</v>
      </c>
      <c r="J28" s="285" t="s">
        <v>445</v>
      </c>
      <c r="K28" s="167"/>
      <c r="R28" s="46"/>
      <c r="S28" s="179"/>
    </row>
    <row r="29" spans="2:26" ht="27" customHeight="1" thickBot="1" x14ac:dyDescent="0.45">
      <c r="B29" s="5"/>
      <c r="C29" s="523" t="s">
        <v>337</v>
      </c>
      <c r="D29" s="524"/>
      <c r="E29" s="524"/>
      <c r="F29" s="525"/>
      <c r="G29" s="162">
        <v>104474</v>
      </c>
      <c r="H29" s="157">
        <v>54968</v>
      </c>
      <c r="I29" s="158">
        <v>0.52614047514214057</v>
      </c>
      <c r="J29" s="167"/>
      <c r="K29" s="537" t="s">
        <v>447</v>
      </c>
      <c r="L29" s="538"/>
      <c r="M29" s="538"/>
      <c r="N29" s="538"/>
      <c r="O29" s="539"/>
      <c r="P29" s="543" t="s">
        <v>445</v>
      </c>
      <c r="Q29" s="284"/>
      <c r="R29" s="46"/>
      <c r="S29" s="179"/>
    </row>
    <row r="30" spans="2:26" ht="32.25" customHeight="1" thickBot="1" x14ac:dyDescent="0.45">
      <c r="B30" s="5"/>
      <c r="C30" s="521" t="s">
        <v>42</v>
      </c>
      <c r="D30" s="522"/>
      <c r="E30" s="522"/>
      <c r="F30" s="522"/>
      <c r="G30" s="222">
        <v>67339</v>
      </c>
      <c r="H30" s="222">
        <v>57902</v>
      </c>
      <c r="I30" s="227">
        <v>0.85985832875451074</v>
      </c>
      <c r="J30" s="167"/>
      <c r="K30" s="540"/>
      <c r="L30" s="541"/>
      <c r="M30" s="541"/>
      <c r="N30" s="541"/>
      <c r="O30" s="542"/>
      <c r="P30" s="543"/>
      <c r="Q30" s="46"/>
      <c r="R30" s="46"/>
      <c r="S30" s="179"/>
    </row>
    <row r="31" spans="2:26" ht="33.75" customHeight="1" x14ac:dyDescent="0.4">
      <c r="B31" s="5"/>
      <c r="C31" s="518" t="s">
        <v>357</v>
      </c>
      <c r="D31" s="519"/>
      <c r="E31" s="519"/>
      <c r="F31" s="520"/>
      <c r="G31" s="162">
        <v>62</v>
      </c>
      <c r="H31" s="157">
        <v>53</v>
      </c>
      <c r="I31" s="158">
        <v>0.85483870967741937</v>
      </c>
      <c r="J31" s="167"/>
      <c r="K31" s="167"/>
      <c r="L31" s="167"/>
      <c r="M31" s="167"/>
      <c r="N31" s="46"/>
      <c r="O31" s="46"/>
      <c r="P31" s="46"/>
      <c r="Q31" s="46"/>
      <c r="R31" s="46"/>
      <c r="S31" s="179"/>
    </row>
    <row r="32" spans="2:26" ht="32.25" customHeight="1" x14ac:dyDescent="0.4">
      <c r="B32" s="5"/>
      <c r="C32" s="518" t="s">
        <v>358</v>
      </c>
      <c r="D32" s="519"/>
      <c r="E32" s="519"/>
      <c r="F32" s="520"/>
      <c r="G32" s="162">
        <v>57</v>
      </c>
      <c r="H32" s="157">
        <v>49</v>
      </c>
      <c r="I32" s="158">
        <v>0.85964912280701755</v>
      </c>
      <c r="J32" s="46"/>
      <c r="K32" s="46"/>
      <c r="L32" s="46"/>
      <c r="M32" s="46"/>
      <c r="N32" s="46"/>
      <c r="O32" s="46"/>
      <c r="P32" s="46"/>
      <c r="Q32" s="46"/>
      <c r="R32" s="46"/>
      <c r="S32" s="179"/>
      <c r="T32" s="26"/>
      <c r="U32" s="26"/>
      <c r="V32" s="153"/>
      <c r="W32" s="154"/>
      <c r="X32" s="154"/>
      <c r="Y32" s="155"/>
      <c r="Z32" s="13"/>
    </row>
    <row r="33" spans="2:26" ht="32.25" customHeight="1" x14ac:dyDescent="0.4">
      <c r="B33" s="5"/>
      <c r="C33" s="518" t="s">
        <v>359</v>
      </c>
      <c r="D33" s="519"/>
      <c r="E33" s="519"/>
      <c r="F33" s="520"/>
      <c r="G33" s="162">
        <v>606</v>
      </c>
      <c r="H33" s="157">
        <v>554</v>
      </c>
      <c r="I33" s="158">
        <v>0.91419141914191415</v>
      </c>
      <c r="J33" s="46"/>
      <c r="K33" s="46"/>
      <c r="L33" s="46"/>
      <c r="M33" s="46"/>
      <c r="N33" s="46"/>
      <c r="O33" s="46"/>
      <c r="P33" s="46"/>
      <c r="Q33" s="46"/>
      <c r="R33" s="46"/>
      <c r="S33" s="179"/>
      <c r="T33" s="152"/>
      <c r="U33" s="152"/>
      <c r="V33" s="156"/>
      <c r="W33" s="172"/>
      <c r="X33" s="172"/>
      <c r="Y33" s="168"/>
      <c r="Z33" s="13"/>
    </row>
    <row r="34" spans="2:26" ht="32.25" customHeight="1" x14ac:dyDescent="0.4">
      <c r="B34" s="5"/>
      <c r="C34" s="518" t="s">
        <v>360</v>
      </c>
      <c r="D34" s="519"/>
      <c r="E34" s="519"/>
      <c r="F34" s="520"/>
      <c r="G34" s="162">
        <v>1719</v>
      </c>
      <c r="H34" s="157">
        <v>493</v>
      </c>
      <c r="I34" s="158">
        <v>0.28679464805119254</v>
      </c>
      <c r="J34" s="46"/>
      <c r="K34" s="46"/>
      <c r="L34" s="46"/>
      <c r="M34" s="46"/>
      <c r="N34" s="46"/>
      <c r="O34" s="46"/>
      <c r="P34" s="46"/>
      <c r="Q34" s="46"/>
      <c r="R34" s="46"/>
      <c r="S34" s="179"/>
      <c r="T34" s="26"/>
      <c r="U34" s="26"/>
      <c r="V34" s="153"/>
      <c r="W34" s="154"/>
      <c r="X34" s="154"/>
      <c r="Y34" s="155"/>
      <c r="Z34" s="13"/>
    </row>
    <row r="35" spans="2:26" ht="32.25" customHeight="1" x14ac:dyDescent="0.4">
      <c r="B35" s="5"/>
      <c r="C35" s="518" t="s">
        <v>361</v>
      </c>
      <c r="D35" s="519"/>
      <c r="E35" s="519"/>
      <c r="F35" s="520"/>
      <c r="G35" s="162">
        <v>198</v>
      </c>
      <c r="H35" s="157">
        <v>197</v>
      </c>
      <c r="I35" s="158">
        <v>0.99494949494949492</v>
      </c>
      <c r="J35" s="46"/>
      <c r="K35" s="46"/>
      <c r="L35" s="46"/>
      <c r="M35" s="46"/>
      <c r="N35" s="46"/>
      <c r="O35" s="46"/>
      <c r="P35" s="46"/>
      <c r="Q35" s="46"/>
      <c r="R35" s="46"/>
      <c r="S35" s="179"/>
      <c r="T35" s="26"/>
      <c r="U35" s="26"/>
      <c r="V35" s="153"/>
      <c r="W35" s="154"/>
      <c r="X35" s="154"/>
      <c r="Y35" s="155"/>
      <c r="Z35" s="13"/>
    </row>
    <row r="36" spans="2:26" ht="32.25" customHeight="1" x14ac:dyDescent="0.4">
      <c r="B36" s="5"/>
      <c r="C36" s="518" t="s">
        <v>362</v>
      </c>
      <c r="D36" s="519"/>
      <c r="E36" s="519"/>
      <c r="F36" s="520"/>
      <c r="G36" s="162">
        <v>16136</v>
      </c>
      <c r="H36" s="157">
        <v>12526</v>
      </c>
      <c r="I36" s="158">
        <v>0.77627664848785327</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8" t="s">
        <v>363</v>
      </c>
      <c r="D37" s="519"/>
      <c r="E37" s="519"/>
      <c r="F37" s="520"/>
      <c r="G37" s="162">
        <v>48561</v>
      </c>
      <c r="H37" s="157">
        <v>44030</v>
      </c>
      <c r="I37" s="158">
        <v>0.90669467267972237</v>
      </c>
      <c r="J37" s="46"/>
      <c r="K37" s="46"/>
      <c r="L37" s="46"/>
      <c r="M37" s="46"/>
      <c r="N37" s="46"/>
      <c r="O37" s="46"/>
      <c r="P37" s="46"/>
      <c r="Q37" s="46"/>
      <c r="R37" s="46"/>
      <c r="S37" s="179"/>
    </row>
    <row r="38" spans="2:26" ht="32.25" customHeight="1" thickBot="1" x14ac:dyDescent="0.45">
      <c r="B38" s="5"/>
      <c r="C38" s="521" t="s">
        <v>308</v>
      </c>
      <c r="D38" s="522"/>
      <c r="E38" s="522"/>
      <c r="F38" s="522"/>
      <c r="G38" s="228">
        <v>276110</v>
      </c>
      <c r="H38" s="230">
        <v>162664</v>
      </c>
      <c r="I38" s="227">
        <v>0.5891275216399261</v>
      </c>
      <c r="J38" s="46"/>
      <c r="K38" s="46"/>
      <c r="Q38" s="46"/>
      <c r="R38" s="46"/>
      <c r="S38" s="179"/>
    </row>
    <row r="39" spans="2:26" ht="26.25" customHeight="1" x14ac:dyDescent="0.4">
      <c r="B39" s="5"/>
      <c r="C39" s="518" t="s">
        <v>364</v>
      </c>
      <c r="D39" s="519"/>
      <c r="E39" s="519"/>
      <c r="F39" s="520"/>
      <c r="G39" s="162">
        <v>5714</v>
      </c>
      <c r="H39" s="157">
        <v>4485</v>
      </c>
      <c r="I39" s="158">
        <v>0.78491424571228563</v>
      </c>
      <c r="J39" s="46"/>
      <c r="K39" s="46"/>
      <c r="Q39" s="46"/>
      <c r="R39" s="46"/>
      <c r="S39" s="179"/>
    </row>
    <row r="40" spans="2:26" ht="26.25" customHeight="1" x14ac:dyDescent="0.4">
      <c r="B40" s="5"/>
      <c r="C40" s="518" t="s">
        <v>365</v>
      </c>
      <c r="D40" s="519"/>
      <c r="E40" s="519"/>
      <c r="F40" s="520"/>
      <c r="G40" s="162">
        <v>210352</v>
      </c>
      <c r="H40" s="157">
        <v>114753</v>
      </c>
      <c r="I40" s="158">
        <v>0.54552844755457519</v>
      </c>
      <c r="J40" s="46"/>
      <c r="K40" s="46"/>
      <c r="L40" s="46"/>
      <c r="M40" s="46"/>
      <c r="N40" s="46"/>
      <c r="O40" s="46"/>
      <c r="P40" s="46"/>
      <c r="Q40" s="46"/>
      <c r="R40" s="46"/>
      <c r="S40" s="179"/>
    </row>
    <row r="41" spans="2:26" ht="26.25" customHeight="1" x14ac:dyDescent="0.4">
      <c r="B41" s="5"/>
      <c r="C41" s="518" t="s">
        <v>366</v>
      </c>
      <c r="D41" s="519"/>
      <c r="E41" s="519"/>
      <c r="F41" s="520"/>
      <c r="G41" s="162">
        <v>1398</v>
      </c>
      <c r="H41" s="157">
        <v>335</v>
      </c>
      <c r="I41" s="158">
        <v>0.2396280400572246</v>
      </c>
      <c r="J41" s="46"/>
      <c r="K41" s="46"/>
      <c r="L41" s="46"/>
      <c r="M41" s="46"/>
      <c r="N41" s="46"/>
      <c r="O41" s="46"/>
      <c r="P41" s="46"/>
      <c r="Q41" s="46"/>
      <c r="R41" s="46"/>
      <c r="S41" s="179"/>
    </row>
    <row r="42" spans="2:26" ht="36" customHeight="1" x14ac:dyDescent="0.4">
      <c r="B42" s="5"/>
      <c r="C42" s="518" t="s">
        <v>367</v>
      </c>
      <c r="D42" s="519"/>
      <c r="E42" s="519"/>
      <c r="F42" s="520"/>
      <c r="G42" s="162">
        <v>28937</v>
      </c>
      <c r="H42" s="157">
        <v>16382</v>
      </c>
      <c r="I42" s="158">
        <v>0.56612641255140472</v>
      </c>
      <c r="J42" s="46"/>
      <c r="K42" s="46"/>
      <c r="L42" s="46"/>
      <c r="M42" s="46"/>
      <c r="N42" s="46"/>
      <c r="O42" s="46"/>
      <c r="P42" s="46"/>
      <c r="Q42" s="46"/>
      <c r="R42" s="46"/>
      <c r="S42" s="179"/>
    </row>
    <row r="43" spans="2:26" ht="33" customHeight="1" x14ac:dyDescent="0.4">
      <c r="B43" s="5"/>
      <c r="C43" s="518" t="s">
        <v>368</v>
      </c>
      <c r="D43" s="519"/>
      <c r="E43" s="519"/>
      <c r="F43" s="520"/>
      <c r="G43" s="162">
        <v>29121</v>
      </c>
      <c r="H43" s="157">
        <v>26170</v>
      </c>
      <c r="I43" s="158">
        <v>0.89866419422409949</v>
      </c>
      <c r="J43" s="46"/>
      <c r="K43" s="46"/>
      <c r="L43" s="46"/>
      <c r="M43" s="46"/>
      <c r="N43" s="46"/>
      <c r="O43" s="46"/>
      <c r="P43" s="46"/>
      <c r="Q43" s="46"/>
      <c r="R43" s="46"/>
      <c r="S43" s="179"/>
    </row>
    <row r="44" spans="2:26" ht="27" customHeight="1" thickBot="1" x14ac:dyDescent="0.45">
      <c r="B44" s="5"/>
      <c r="C44" s="535" t="s">
        <v>369</v>
      </c>
      <c r="D44" s="560"/>
      <c r="E44" s="560"/>
      <c r="F44" s="536"/>
      <c r="G44" s="163">
        <v>588</v>
      </c>
      <c r="H44" s="159">
        <v>539</v>
      </c>
      <c r="I44" s="160">
        <v>0.91666666666666663</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56" t="s">
        <v>353</v>
      </c>
      <c r="D49" s="557"/>
      <c r="E49" s="557"/>
      <c r="F49" s="557"/>
      <c r="G49" s="557"/>
      <c r="H49" s="557"/>
      <c r="I49" s="557"/>
      <c r="J49" s="557"/>
      <c r="K49" s="557"/>
      <c r="L49" s="557"/>
      <c r="M49" s="557"/>
      <c r="N49" s="557"/>
      <c r="O49" s="557"/>
      <c r="P49" s="557"/>
      <c r="Q49" s="557"/>
      <c r="R49" s="557"/>
      <c r="S49" s="558"/>
    </row>
    <row r="50" spans="1:19" x14ac:dyDescent="0.2">
      <c r="C50" s="559" t="s">
        <v>287</v>
      </c>
      <c r="D50" s="559"/>
      <c r="E50" s="553" t="s">
        <v>238</v>
      </c>
      <c r="F50" s="554"/>
      <c r="G50" s="555"/>
      <c r="H50" s="553" t="s">
        <v>8</v>
      </c>
      <c r="I50" s="554"/>
      <c r="J50" s="555"/>
      <c r="K50" s="553" t="s">
        <v>43</v>
      </c>
      <c r="L50" s="554"/>
      <c r="M50" s="555"/>
      <c r="N50" s="553" t="s">
        <v>9</v>
      </c>
      <c r="O50" s="554"/>
      <c r="P50" s="555"/>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370033</v>
      </c>
      <c r="D52" s="80">
        <v>371.6</v>
      </c>
      <c r="E52" s="81">
        <v>425078</v>
      </c>
      <c r="F52" s="81">
        <v>174070</v>
      </c>
      <c r="G52" s="84">
        <v>0.40950131505276677</v>
      </c>
      <c r="H52" s="81">
        <v>485276</v>
      </c>
      <c r="I52" s="81">
        <v>330752</v>
      </c>
      <c r="J52" s="84">
        <v>0.68157502122503477</v>
      </c>
      <c r="K52" s="81">
        <v>67339</v>
      </c>
      <c r="L52" s="81">
        <v>57902</v>
      </c>
      <c r="M52" s="84">
        <v>0.85985832875451074</v>
      </c>
      <c r="N52" s="81">
        <v>276110</v>
      </c>
      <c r="O52" s="81">
        <v>162664</v>
      </c>
      <c r="P52" s="84">
        <v>0.5891275216399261</v>
      </c>
      <c r="Q52" s="81">
        <v>6182</v>
      </c>
      <c r="R52" s="81">
        <v>4238</v>
      </c>
      <c r="S52" s="83">
        <v>291564</v>
      </c>
    </row>
    <row r="53" spans="1:19" x14ac:dyDescent="0.2">
      <c r="A53" s="70"/>
      <c r="B53" s="92" t="s">
        <v>149</v>
      </c>
      <c r="C53" s="81">
        <v>54257</v>
      </c>
      <c r="D53" s="183">
        <v>420.1</v>
      </c>
      <c r="E53" s="184">
        <v>77477</v>
      </c>
      <c r="F53" s="184">
        <v>32685</v>
      </c>
      <c r="G53" s="186">
        <v>0.4218671347625747</v>
      </c>
      <c r="H53" s="184">
        <v>76554</v>
      </c>
      <c r="I53" s="184">
        <v>50905</v>
      </c>
      <c r="J53" s="186">
        <v>0.6649554562792277</v>
      </c>
      <c r="K53" s="184">
        <v>11101</v>
      </c>
      <c r="L53" s="184">
        <v>9404</v>
      </c>
      <c r="M53" s="187">
        <v>0.84713088910908929</v>
      </c>
      <c r="N53" s="184">
        <v>57783</v>
      </c>
      <c r="O53" s="184">
        <v>33034</v>
      </c>
      <c r="P53" s="187">
        <v>0.57169063565408507</v>
      </c>
      <c r="Q53" s="184">
        <v>4976</v>
      </c>
      <c r="R53" s="184">
        <v>764</v>
      </c>
      <c r="S53" s="81">
        <v>54836</v>
      </c>
    </row>
    <row r="54" spans="1:19" x14ac:dyDescent="0.2">
      <c r="A54" s="235" t="s">
        <v>166</v>
      </c>
      <c r="B54" s="93" t="s">
        <v>46</v>
      </c>
      <c r="C54" s="82">
        <v>6184</v>
      </c>
      <c r="D54" s="188">
        <v>559</v>
      </c>
      <c r="E54" s="189">
        <v>7770</v>
      </c>
      <c r="F54" s="189">
        <v>4201</v>
      </c>
      <c r="G54" s="190">
        <v>0.54066924066924071</v>
      </c>
      <c r="H54" s="189">
        <v>7336</v>
      </c>
      <c r="I54" s="189">
        <v>5968</v>
      </c>
      <c r="J54" s="190">
        <v>0.81352235550708829</v>
      </c>
      <c r="K54" s="189">
        <v>1015</v>
      </c>
      <c r="L54" s="189">
        <v>936</v>
      </c>
      <c r="M54" s="190">
        <v>0.92216748768472911</v>
      </c>
      <c r="N54" s="189">
        <v>8800</v>
      </c>
      <c r="O54" s="189">
        <v>6950</v>
      </c>
      <c r="P54" s="190">
        <v>0.78977272727272729</v>
      </c>
      <c r="Q54" s="189">
        <v>31</v>
      </c>
      <c r="R54" s="189">
        <v>7</v>
      </c>
      <c r="S54" s="82">
        <v>5150</v>
      </c>
    </row>
    <row r="55" spans="1:19" x14ac:dyDescent="0.2">
      <c r="A55" s="235" t="s">
        <v>159</v>
      </c>
      <c r="B55" s="93" t="s">
        <v>48</v>
      </c>
      <c r="C55" s="82">
        <v>4538</v>
      </c>
      <c r="D55" s="188">
        <v>522.29999999999995</v>
      </c>
      <c r="E55" s="189">
        <v>4287</v>
      </c>
      <c r="F55" s="189">
        <v>2117</v>
      </c>
      <c r="G55" s="190">
        <v>0.49381852111033359</v>
      </c>
      <c r="H55" s="189">
        <v>5965</v>
      </c>
      <c r="I55" s="189">
        <v>4722</v>
      </c>
      <c r="J55" s="190">
        <v>0.79161777032690694</v>
      </c>
      <c r="K55" s="189">
        <v>2097</v>
      </c>
      <c r="L55" s="189">
        <v>1922</v>
      </c>
      <c r="M55" s="190">
        <v>0.9165474487362899</v>
      </c>
      <c r="N55" s="189">
        <v>889</v>
      </c>
      <c r="O55" s="189">
        <v>809</v>
      </c>
      <c r="P55" s="190">
        <v>0.91001124859392579</v>
      </c>
      <c r="Q55" s="189">
        <v>2</v>
      </c>
      <c r="R55" s="189">
        <v>9</v>
      </c>
      <c r="S55" s="82">
        <v>3618</v>
      </c>
    </row>
    <row r="56" spans="1:19" x14ac:dyDescent="0.2">
      <c r="A56" s="235" t="s">
        <v>162</v>
      </c>
      <c r="B56" s="93" t="s">
        <v>33</v>
      </c>
      <c r="C56" s="82">
        <v>1633</v>
      </c>
      <c r="D56" s="188">
        <v>153.30000000000001</v>
      </c>
      <c r="E56" s="189">
        <v>5425</v>
      </c>
      <c r="F56" s="189">
        <v>2586</v>
      </c>
      <c r="G56" s="190">
        <v>0.47668202764976958</v>
      </c>
      <c r="H56" s="189">
        <v>2494</v>
      </c>
      <c r="I56" s="189">
        <v>929</v>
      </c>
      <c r="J56" s="190">
        <v>0.37249398556535684</v>
      </c>
      <c r="K56" s="189">
        <v>73</v>
      </c>
      <c r="L56" s="189">
        <v>47</v>
      </c>
      <c r="M56" s="190">
        <v>0.64383561643835618</v>
      </c>
      <c r="N56" s="189">
        <v>634</v>
      </c>
      <c r="O56" s="189">
        <v>434</v>
      </c>
      <c r="P56" s="190">
        <v>0.68454258675078861</v>
      </c>
      <c r="Q56" s="189">
        <v>1</v>
      </c>
      <c r="R56" s="189">
        <v>7</v>
      </c>
      <c r="S56" s="82">
        <v>1640</v>
      </c>
    </row>
    <row r="57" spans="1:19" x14ac:dyDescent="0.2">
      <c r="A57" s="236" t="s">
        <v>175</v>
      </c>
      <c r="B57" s="93" t="s">
        <v>51</v>
      </c>
      <c r="C57" s="82">
        <v>9320</v>
      </c>
      <c r="D57" s="188">
        <v>522.1</v>
      </c>
      <c r="E57" s="189">
        <v>8989</v>
      </c>
      <c r="F57" s="189">
        <v>2735</v>
      </c>
      <c r="G57" s="190">
        <v>0.3042607631549672</v>
      </c>
      <c r="H57" s="189">
        <v>11385</v>
      </c>
      <c r="I57" s="189">
        <v>9303</v>
      </c>
      <c r="J57" s="190">
        <v>0.81712779973649541</v>
      </c>
      <c r="K57" s="189">
        <v>1278</v>
      </c>
      <c r="L57" s="189">
        <v>1169</v>
      </c>
      <c r="M57" s="190">
        <v>0.91471048513302033</v>
      </c>
      <c r="N57" s="189">
        <v>14140</v>
      </c>
      <c r="O57" s="189">
        <v>8934</v>
      </c>
      <c r="P57" s="190">
        <v>0.63182461103253185</v>
      </c>
      <c r="Q57" s="189">
        <v>16</v>
      </c>
      <c r="R57" s="189">
        <v>321</v>
      </c>
      <c r="S57" s="82">
        <v>13249</v>
      </c>
    </row>
    <row r="58" spans="1:19" x14ac:dyDescent="0.2">
      <c r="A58" s="236" t="s">
        <v>179</v>
      </c>
      <c r="B58" s="93" t="s">
        <v>55</v>
      </c>
      <c r="C58" s="82">
        <v>3230</v>
      </c>
      <c r="D58" s="188">
        <v>226.5</v>
      </c>
      <c r="E58" s="189">
        <v>8740</v>
      </c>
      <c r="F58" s="189">
        <v>2942</v>
      </c>
      <c r="G58" s="190">
        <v>0.3366132723112128</v>
      </c>
      <c r="H58" s="189">
        <v>5239</v>
      </c>
      <c r="I58" s="189">
        <v>3080</v>
      </c>
      <c r="J58" s="190">
        <v>0.58789845390341666</v>
      </c>
      <c r="K58" s="189">
        <v>811</v>
      </c>
      <c r="L58" s="189">
        <v>725</v>
      </c>
      <c r="M58" s="190">
        <v>0.89395807644882863</v>
      </c>
      <c r="N58" s="189">
        <v>6434</v>
      </c>
      <c r="O58" s="189">
        <v>920</v>
      </c>
      <c r="P58" s="190">
        <v>0.14299036369288157</v>
      </c>
      <c r="Q58" s="189">
        <v>3</v>
      </c>
      <c r="R58" s="189">
        <v>192</v>
      </c>
      <c r="S58" s="82">
        <v>6276</v>
      </c>
    </row>
    <row r="59" spans="1:19" x14ac:dyDescent="0.2">
      <c r="A59" s="236" t="s">
        <v>163</v>
      </c>
      <c r="B59" s="93" t="s">
        <v>58</v>
      </c>
      <c r="C59" s="82">
        <v>1527</v>
      </c>
      <c r="D59" s="188">
        <v>253.8</v>
      </c>
      <c r="E59" s="189">
        <v>2012</v>
      </c>
      <c r="F59" s="189">
        <v>663</v>
      </c>
      <c r="G59" s="190">
        <v>0.32952286282306165</v>
      </c>
      <c r="H59" s="189">
        <v>2897</v>
      </c>
      <c r="I59" s="189">
        <v>1774</v>
      </c>
      <c r="J59" s="190">
        <v>0.61235761132205735</v>
      </c>
      <c r="K59" s="189">
        <v>252</v>
      </c>
      <c r="L59" s="189">
        <v>166</v>
      </c>
      <c r="M59" s="190">
        <v>0.65873015873015872</v>
      </c>
      <c r="N59" s="189">
        <v>2314</v>
      </c>
      <c r="O59" s="189">
        <v>1342</v>
      </c>
      <c r="P59" s="190">
        <v>0.5799481417458946</v>
      </c>
      <c r="Q59" s="189">
        <v>0</v>
      </c>
      <c r="R59" s="189">
        <v>3</v>
      </c>
      <c r="S59" s="82">
        <v>928</v>
      </c>
    </row>
    <row r="60" spans="1:19" x14ac:dyDescent="0.2">
      <c r="A60" s="236" t="s">
        <v>176</v>
      </c>
      <c r="B60" s="93" t="s">
        <v>62</v>
      </c>
      <c r="C60" s="82">
        <v>8091</v>
      </c>
      <c r="D60" s="188">
        <v>460.7</v>
      </c>
      <c r="E60" s="189">
        <v>7471</v>
      </c>
      <c r="F60" s="189">
        <v>3315</v>
      </c>
      <c r="G60" s="190">
        <v>0.44371570070940974</v>
      </c>
      <c r="H60" s="189">
        <v>12789</v>
      </c>
      <c r="I60" s="189">
        <v>7364</v>
      </c>
      <c r="J60" s="190">
        <v>0.57580733442802412</v>
      </c>
      <c r="K60" s="189">
        <v>1342</v>
      </c>
      <c r="L60" s="189">
        <v>1172</v>
      </c>
      <c r="M60" s="190">
        <v>0.87332339791356184</v>
      </c>
      <c r="N60" s="189">
        <v>2064</v>
      </c>
      <c r="O60" s="189">
        <v>1347</v>
      </c>
      <c r="P60" s="190">
        <v>0.65261627906976749</v>
      </c>
      <c r="Q60" s="189">
        <v>3</v>
      </c>
      <c r="R60" s="189">
        <v>205</v>
      </c>
      <c r="S60" s="82">
        <v>7649</v>
      </c>
    </row>
    <row r="61" spans="1:19" x14ac:dyDescent="0.2">
      <c r="A61" s="236" t="s">
        <v>201</v>
      </c>
      <c r="B61" s="93" t="s">
        <v>68</v>
      </c>
      <c r="C61" s="82">
        <v>2158</v>
      </c>
      <c r="D61" s="188">
        <v>376.3</v>
      </c>
      <c r="E61" s="189">
        <v>1313</v>
      </c>
      <c r="F61" s="189">
        <v>480</v>
      </c>
      <c r="G61" s="190">
        <v>0.3655750190403656</v>
      </c>
      <c r="H61" s="189">
        <v>2577</v>
      </c>
      <c r="I61" s="189">
        <v>1864</v>
      </c>
      <c r="J61" s="190">
        <v>0.72332169188979434</v>
      </c>
      <c r="K61" s="189">
        <v>855</v>
      </c>
      <c r="L61" s="189">
        <v>845</v>
      </c>
      <c r="M61" s="190">
        <v>0.98830409356725146</v>
      </c>
      <c r="N61" s="189">
        <v>640</v>
      </c>
      <c r="O61" s="189">
        <v>193</v>
      </c>
      <c r="P61" s="190">
        <v>0.30156250000000001</v>
      </c>
      <c r="Q61" s="189">
        <v>0</v>
      </c>
      <c r="R61" s="189">
        <v>0</v>
      </c>
      <c r="S61" s="82">
        <v>737</v>
      </c>
    </row>
    <row r="62" spans="1:19" x14ac:dyDescent="0.2">
      <c r="A62" s="236" t="s">
        <v>161</v>
      </c>
      <c r="B62" s="93" t="s">
        <v>74</v>
      </c>
      <c r="C62" s="82">
        <v>3465</v>
      </c>
      <c r="D62" s="188">
        <v>227.2</v>
      </c>
      <c r="E62" s="189">
        <v>6298</v>
      </c>
      <c r="F62" s="189">
        <v>3121</v>
      </c>
      <c r="G62" s="190">
        <v>0.49555414417275323</v>
      </c>
      <c r="H62" s="189">
        <v>5135</v>
      </c>
      <c r="I62" s="189">
        <v>2829</v>
      </c>
      <c r="J62" s="190">
        <v>0.55092502434274582</v>
      </c>
      <c r="K62" s="189">
        <v>953</v>
      </c>
      <c r="L62" s="189">
        <v>670</v>
      </c>
      <c r="M62" s="190">
        <v>0.70304302203567681</v>
      </c>
      <c r="N62" s="189">
        <v>364</v>
      </c>
      <c r="O62" s="189">
        <v>265</v>
      </c>
      <c r="P62" s="190">
        <v>0.72802197802197799</v>
      </c>
      <c r="Q62" s="189">
        <v>0</v>
      </c>
      <c r="R62" s="189">
        <v>9</v>
      </c>
      <c r="S62" s="82">
        <v>3485</v>
      </c>
    </row>
    <row r="63" spans="1:19" x14ac:dyDescent="0.2">
      <c r="A63" s="236" t="s">
        <v>164</v>
      </c>
      <c r="B63" s="93" t="s">
        <v>75</v>
      </c>
      <c r="C63" s="82">
        <v>693</v>
      </c>
      <c r="D63" s="188">
        <v>143.19999999999999</v>
      </c>
      <c r="E63" s="189">
        <v>2754</v>
      </c>
      <c r="F63" s="189">
        <v>1075</v>
      </c>
      <c r="G63" s="190">
        <v>0.39034132171387076</v>
      </c>
      <c r="H63" s="189">
        <v>1275</v>
      </c>
      <c r="I63" s="189">
        <v>531</v>
      </c>
      <c r="J63" s="190">
        <v>0.41647058823529409</v>
      </c>
      <c r="K63" s="189">
        <v>87</v>
      </c>
      <c r="L63" s="189">
        <v>78</v>
      </c>
      <c r="M63" s="190">
        <v>0.89655172413793105</v>
      </c>
      <c r="N63" s="189">
        <v>2557</v>
      </c>
      <c r="O63" s="189">
        <v>928</v>
      </c>
      <c r="P63" s="190">
        <v>0.36292530308955806</v>
      </c>
      <c r="Q63" s="189">
        <v>0</v>
      </c>
      <c r="R63" s="189">
        <v>4</v>
      </c>
      <c r="S63" s="82">
        <v>2621</v>
      </c>
    </row>
    <row r="64" spans="1:19" x14ac:dyDescent="0.2">
      <c r="A64" s="236" t="s">
        <v>115</v>
      </c>
      <c r="B64" s="94" t="s">
        <v>77</v>
      </c>
      <c r="C64" s="82">
        <v>6294</v>
      </c>
      <c r="D64" s="188">
        <v>441.4</v>
      </c>
      <c r="E64" s="189">
        <v>12709</v>
      </c>
      <c r="F64" s="189">
        <v>5465</v>
      </c>
      <c r="G64" s="190">
        <v>0.43001022897159491</v>
      </c>
      <c r="H64" s="189">
        <v>8832</v>
      </c>
      <c r="I64" s="189">
        <v>5892</v>
      </c>
      <c r="J64" s="190">
        <v>0.66711956521739135</v>
      </c>
      <c r="K64" s="189">
        <v>797</v>
      </c>
      <c r="L64" s="189">
        <v>379</v>
      </c>
      <c r="M64" s="190">
        <v>0.47553324968632371</v>
      </c>
      <c r="N64" s="189">
        <v>11369</v>
      </c>
      <c r="O64" s="189">
        <v>7175</v>
      </c>
      <c r="P64" s="190">
        <v>0.63110211979945463</v>
      </c>
      <c r="Q64" s="189">
        <v>4920</v>
      </c>
      <c r="R64" s="189">
        <v>0</v>
      </c>
      <c r="S64" s="82">
        <v>3703</v>
      </c>
    </row>
    <row r="65" spans="1:19" x14ac:dyDescent="0.2">
      <c r="A65" s="236" t="s">
        <v>165</v>
      </c>
      <c r="B65" s="93" t="s">
        <v>79</v>
      </c>
      <c r="C65" s="82">
        <v>4046</v>
      </c>
      <c r="D65" s="188">
        <v>414.2</v>
      </c>
      <c r="E65" s="189">
        <v>5015</v>
      </c>
      <c r="F65" s="189">
        <v>2333</v>
      </c>
      <c r="G65" s="190">
        <v>0.46520438683948157</v>
      </c>
      <c r="H65" s="189">
        <v>5584</v>
      </c>
      <c r="I65" s="189">
        <v>4009</v>
      </c>
      <c r="J65" s="190">
        <v>0.71794412607449853</v>
      </c>
      <c r="K65" s="189">
        <v>446</v>
      </c>
      <c r="L65" s="189">
        <v>347</v>
      </c>
      <c r="M65" s="190">
        <v>0.77802690582959644</v>
      </c>
      <c r="N65" s="189">
        <v>2680</v>
      </c>
      <c r="O65" s="189">
        <v>1407</v>
      </c>
      <c r="P65" s="190">
        <v>0.52500000000000002</v>
      </c>
      <c r="Q65" s="189">
        <v>0</v>
      </c>
      <c r="R65" s="189">
        <v>4</v>
      </c>
      <c r="S65" s="82">
        <v>4422</v>
      </c>
    </row>
    <row r="66" spans="1:19" x14ac:dyDescent="0.2">
      <c r="A66" s="236" t="s">
        <v>160</v>
      </c>
      <c r="B66" s="93" t="s">
        <v>81</v>
      </c>
      <c r="C66" s="82">
        <v>771</v>
      </c>
      <c r="D66" s="188">
        <v>132.9</v>
      </c>
      <c r="E66" s="189">
        <v>1818</v>
      </c>
      <c r="F66" s="189">
        <v>518</v>
      </c>
      <c r="G66" s="190">
        <v>0.28492849284928495</v>
      </c>
      <c r="H66" s="189">
        <v>1747</v>
      </c>
      <c r="I66" s="189">
        <v>586</v>
      </c>
      <c r="J66" s="190">
        <v>0.33543216943331428</v>
      </c>
      <c r="K66" s="189">
        <v>393</v>
      </c>
      <c r="L66" s="189">
        <v>374</v>
      </c>
      <c r="M66" s="190">
        <v>0.95165394402035619</v>
      </c>
      <c r="N66" s="189">
        <v>666</v>
      </c>
      <c r="O66" s="189">
        <v>176</v>
      </c>
      <c r="P66" s="190">
        <v>0.26426426426426425</v>
      </c>
      <c r="Q66" s="189">
        <v>0</v>
      </c>
      <c r="R66" s="189">
        <v>3</v>
      </c>
      <c r="S66" s="82">
        <v>642</v>
      </c>
    </row>
    <row r="67" spans="1:19" x14ac:dyDescent="0.2">
      <c r="A67" s="236" t="s">
        <v>203</v>
      </c>
      <c r="B67" s="93" t="s">
        <v>92</v>
      </c>
      <c r="C67" s="82">
        <v>1170</v>
      </c>
      <c r="D67" s="188">
        <v>245.6</v>
      </c>
      <c r="E67" s="189">
        <v>1281</v>
      </c>
      <c r="F67" s="189">
        <v>397</v>
      </c>
      <c r="G67" s="190">
        <v>0.30991412958626074</v>
      </c>
      <c r="H67" s="189">
        <v>1817</v>
      </c>
      <c r="I67" s="189">
        <v>1030</v>
      </c>
      <c r="J67" s="190">
        <v>0.56686846450192629</v>
      </c>
      <c r="K67" s="189">
        <v>616</v>
      </c>
      <c r="L67" s="189">
        <v>494</v>
      </c>
      <c r="M67" s="190">
        <v>0.80194805194805197</v>
      </c>
      <c r="N67" s="189">
        <v>3818</v>
      </c>
      <c r="O67" s="189">
        <v>1885</v>
      </c>
      <c r="P67" s="190">
        <v>0.49371398638030384</v>
      </c>
      <c r="Q67" s="189">
        <v>0</v>
      </c>
      <c r="R67" s="189">
        <v>0</v>
      </c>
      <c r="S67" s="82">
        <v>341</v>
      </c>
    </row>
    <row r="68" spans="1:19" x14ac:dyDescent="0.2">
      <c r="A68" s="236" t="s">
        <v>105</v>
      </c>
      <c r="B68" s="32" t="s">
        <v>155</v>
      </c>
      <c r="C68" s="82">
        <v>562</v>
      </c>
      <c r="D68" s="188">
        <v>355.7</v>
      </c>
      <c r="E68" s="189">
        <v>499</v>
      </c>
      <c r="F68" s="189">
        <v>203</v>
      </c>
      <c r="G68" s="190">
        <v>0.40681362725450904</v>
      </c>
      <c r="H68" s="189">
        <v>839</v>
      </c>
      <c r="I68" s="189">
        <v>559</v>
      </c>
      <c r="J68" s="190">
        <v>0.66626936829559003</v>
      </c>
      <c r="K68" s="189">
        <v>77</v>
      </c>
      <c r="L68" s="189">
        <v>72</v>
      </c>
      <c r="M68" s="190">
        <v>0.93506493506493504</v>
      </c>
      <c r="N68" s="189">
        <v>175</v>
      </c>
      <c r="O68" s="189">
        <v>90</v>
      </c>
      <c r="P68" s="190">
        <v>0.51428571428571423</v>
      </c>
      <c r="Q68" s="189">
        <v>0</v>
      </c>
      <c r="R68" s="189">
        <v>0</v>
      </c>
      <c r="S68" s="82">
        <v>147</v>
      </c>
    </row>
    <row r="69" spans="1:19" x14ac:dyDescent="0.2">
      <c r="A69" s="236" t="s">
        <v>212</v>
      </c>
      <c r="B69" s="95" t="s">
        <v>96</v>
      </c>
      <c r="C69" s="82">
        <v>575</v>
      </c>
      <c r="D69" s="191">
        <v>452.8</v>
      </c>
      <c r="E69" s="192">
        <v>1096</v>
      </c>
      <c r="F69" s="192">
        <v>534</v>
      </c>
      <c r="G69" s="193">
        <v>0.48722627737226276</v>
      </c>
      <c r="H69" s="192">
        <v>643</v>
      </c>
      <c r="I69" s="192">
        <v>465</v>
      </c>
      <c r="J69" s="193">
        <v>0.7231726283048211</v>
      </c>
      <c r="K69" s="192">
        <v>9</v>
      </c>
      <c r="L69" s="192">
        <v>8</v>
      </c>
      <c r="M69" s="193">
        <v>0.88888888888888884</v>
      </c>
      <c r="N69" s="192">
        <v>239</v>
      </c>
      <c r="O69" s="192">
        <v>179</v>
      </c>
      <c r="P69" s="193">
        <v>0.7489539748953975</v>
      </c>
      <c r="Q69" s="192">
        <v>0</v>
      </c>
      <c r="R69" s="192">
        <v>0</v>
      </c>
      <c r="S69" s="82">
        <v>228</v>
      </c>
    </row>
    <row r="70" spans="1:19" x14ac:dyDescent="0.2">
      <c r="A70" s="70"/>
      <c r="B70" s="92" t="s">
        <v>20</v>
      </c>
      <c r="C70" s="81">
        <v>160921</v>
      </c>
      <c r="D70" s="194">
        <v>364.2</v>
      </c>
      <c r="E70" s="195">
        <v>145317</v>
      </c>
      <c r="F70" s="195">
        <v>59998</v>
      </c>
      <c r="G70" s="185">
        <v>0.41287667650722215</v>
      </c>
      <c r="H70" s="195">
        <v>195471</v>
      </c>
      <c r="I70" s="195">
        <v>142294</v>
      </c>
      <c r="J70" s="185">
        <v>0.72795453033953883</v>
      </c>
      <c r="K70" s="195">
        <v>23796</v>
      </c>
      <c r="L70" s="195">
        <v>21206</v>
      </c>
      <c r="M70" s="185">
        <v>0.89115817784501594</v>
      </c>
      <c r="N70" s="195">
        <v>79754</v>
      </c>
      <c r="O70" s="195">
        <v>49223</v>
      </c>
      <c r="P70" s="185">
        <v>0.61718534493567723</v>
      </c>
      <c r="Q70" s="195">
        <v>234</v>
      </c>
      <c r="R70" s="195">
        <v>1238</v>
      </c>
      <c r="S70" s="81">
        <v>105803</v>
      </c>
    </row>
    <row r="71" spans="1:19" x14ac:dyDescent="0.2">
      <c r="A71" s="235" t="s">
        <v>168</v>
      </c>
      <c r="B71" s="93" t="s">
        <v>34</v>
      </c>
      <c r="C71" s="82">
        <v>14678</v>
      </c>
      <c r="D71" s="188">
        <v>368.6</v>
      </c>
      <c r="E71" s="189">
        <v>20123</v>
      </c>
      <c r="F71" s="189">
        <v>7380</v>
      </c>
      <c r="G71" s="190">
        <v>0.36674452119465289</v>
      </c>
      <c r="H71" s="189">
        <v>19343</v>
      </c>
      <c r="I71" s="189">
        <v>13452</v>
      </c>
      <c r="J71" s="190">
        <v>0.69544538075789686</v>
      </c>
      <c r="K71" s="189">
        <v>4280</v>
      </c>
      <c r="L71" s="189">
        <v>3787</v>
      </c>
      <c r="M71" s="190">
        <v>0.88481308411214954</v>
      </c>
      <c r="N71" s="189">
        <v>12904</v>
      </c>
      <c r="O71" s="189">
        <v>7532</v>
      </c>
      <c r="P71" s="190">
        <v>0.5836949783013019</v>
      </c>
      <c r="Q71" s="189">
        <v>54</v>
      </c>
      <c r="R71" s="189">
        <v>24</v>
      </c>
      <c r="S71" s="82">
        <v>14704</v>
      </c>
    </row>
    <row r="72" spans="1:19" x14ac:dyDescent="0.2">
      <c r="A72" s="235" t="s">
        <v>171</v>
      </c>
      <c r="B72" s="93" t="s">
        <v>52</v>
      </c>
      <c r="C72" s="82">
        <v>13095</v>
      </c>
      <c r="D72" s="188">
        <v>284</v>
      </c>
      <c r="E72" s="189">
        <v>11062</v>
      </c>
      <c r="F72" s="189">
        <v>3994</v>
      </c>
      <c r="G72" s="190">
        <v>0.36105586693183872</v>
      </c>
      <c r="H72" s="189">
        <v>19728</v>
      </c>
      <c r="I72" s="189">
        <v>12878</v>
      </c>
      <c r="J72" s="190">
        <v>0.65277777777777779</v>
      </c>
      <c r="K72" s="189">
        <v>1248</v>
      </c>
      <c r="L72" s="189">
        <v>1107</v>
      </c>
      <c r="M72" s="190">
        <v>0.88701923076923073</v>
      </c>
      <c r="N72" s="189">
        <v>2249</v>
      </c>
      <c r="O72" s="189">
        <v>1665</v>
      </c>
      <c r="P72" s="190">
        <v>0.74032903512672299</v>
      </c>
      <c r="Q72" s="189">
        <v>4</v>
      </c>
      <c r="R72" s="189">
        <v>56</v>
      </c>
      <c r="S72" s="82">
        <v>10557</v>
      </c>
    </row>
    <row r="73" spans="1:19" x14ac:dyDescent="0.2">
      <c r="A73" s="235" t="s">
        <v>167</v>
      </c>
      <c r="B73" s="93" t="s">
        <v>61</v>
      </c>
      <c r="C73" s="82">
        <v>2120</v>
      </c>
      <c r="D73" s="188">
        <v>220.7</v>
      </c>
      <c r="E73" s="189">
        <v>3049</v>
      </c>
      <c r="F73" s="189">
        <v>874</v>
      </c>
      <c r="G73" s="190">
        <v>0.28665136110200068</v>
      </c>
      <c r="H73" s="189">
        <v>2979</v>
      </c>
      <c r="I73" s="189">
        <v>1681</v>
      </c>
      <c r="J73" s="190">
        <v>0.56428331654917763</v>
      </c>
      <c r="K73" s="189">
        <v>289</v>
      </c>
      <c r="L73" s="189">
        <v>274</v>
      </c>
      <c r="M73" s="190">
        <v>0.94809688581314877</v>
      </c>
      <c r="N73" s="189">
        <v>2748</v>
      </c>
      <c r="O73" s="189">
        <v>1598</v>
      </c>
      <c r="P73" s="190">
        <v>0.58151382823871911</v>
      </c>
      <c r="Q73" s="189">
        <v>2</v>
      </c>
      <c r="R73" s="189">
        <v>17</v>
      </c>
      <c r="S73" s="82">
        <v>2142</v>
      </c>
    </row>
    <row r="74" spans="1:19" x14ac:dyDescent="0.2">
      <c r="A74" s="236" t="s">
        <v>174</v>
      </c>
      <c r="B74" s="32" t="s">
        <v>63</v>
      </c>
      <c r="C74" s="82">
        <v>4386</v>
      </c>
      <c r="D74" s="188">
        <v>377.5</v>
      </c>
      <c r="E74" s="189">
        <v>6184</v>
      </c>
      <c r="F74" s="189">
        <v>3359</v>
      </c>
      <c r="G74" s="190">
        <v>0.5431759379042691</v>
      </c>
      <c r="H74" s="189">
        <v>5342</v>
      </c>
      <c r="I74" s="189">
        <v>3740</v>
      </c>
      <c r="J74" s="190">
        <v>0.70011231748408831</v>
      </c>
      <c r="K74" s="189">
        <v>1209</v>
      </c>
      <c r="L74" s="189">
        <v>1048</v>
      </c>
      <c r="M74" s="190">
        <v>0.86683209263854422</v>
      </c>
      <c r="N74" s="189">
        <v>3466</v>
      </c>
      <c r="O74" s="189">
        <v>2774</v>
      </c>
      <c r="P74" s="190">
        <v>0.80034622042700521</v>
      </c>
      <c r="Q74" s="189">
        <v>77</v>
      </c>
      <c r="R74" s="189">
        <v>154</v>
      </c>
      <c r="S74" s="82">
        <v>4117</v>
      </c>
    </row>
    <row r="75" spans="1:19" x14ac:dyDescent="0.2">
      <c r="A75" s="236" t="s">
        <v>177</v>
      </c>
      <c r="B75" s="93" t="s">
        <v>67</v>
      </c>
      <c r="C75" s="82">
        <v>9444</v>
      </c>
      <c r="D75" s="188">
        <v>456.7</v>
      </c>
      <c r="E75" s="189">
        <v>7901</v>
      </c>
      <c r="F75" s="189">
        <v>4561</v>
      </c>
      <c r="G75" s="190">
        <v>0.57726870016453613</v>
      </c>
      <c r="H75" s="189">
        <v>12851</v>
      </c>
      <c r="I75" s="189">
        <v>8944</v>
      </c>
      <c r="J75" s="190">
        <v>0.69597696677301379</v>
      </c>
      <c r="K75" s="189">
        <v>1891</v>
      </c>
      <c r="L75" s="189">
        <v>1745</v>
      </c>
      <c r="M75" s="190">
        <v>0.92279217345319942</v>
      </c>
      <c r="N75" s="189">
        <v>5373</v>
      </c>
      <c r="O75" s="189">
        <v>1004</v>
      </c>
      <c r="P75" s="190">
        <v>0.18686022706123209</v>
      </c>
      <c r="Q75" s="189">
        <v>74</v>
      </c>
      <c r="R75" s="189">
        <v>229</v>
      </c>
      <c r="S75" s="82">
        <v>4316</v>
      </c>
    </row>
    <row r="76" spans="1:19" x14ac:dyDescent="0.2">
      <c r="A76" s="236" t="s">
        <v>173</v>
      </c>
      <c r="B76" s="93" t="s">
        <v>71</v>
      </c>
      <c r="C76" s="82">
        <v>12019</v>
      </c>
      <c r="D76" s="188">
        <v>385</v>
      </c>
      <c r="E76" s="189">
        <v>9945</v>
      </c>
      <c r="F76" s="189">
        <v>4263</v>
      </c>
      <c r="G76" s="190">
        <v>0.42865761689291099</v>
      </c>
      <c r="H76" s="189">
        <v>13014</v>
      </c>
      <c r="I76" s="189">
        <v>9800</v>
      </c>
      <c r="J76" s="190">
        <v>0.75303519286921772</v>
      </c>
      <c r="K76" s="189">
        <v>4257</v>
      </c>
      <c r="L76" s="189">
        <v>3922</v>
      </c>
      <c r="M76" s="190">
        <v>0.92130608409678172</v>
      </c>
      <c r="N76" s="189">
        <v>3205</v>
      </c>
      <c r="O76" s="189">
        <v>2596</v>
      </c>
      <c r="P76" s="190">
        <v>0.80998439937597499</v>
      </c>
      <c r="Q76" s="189">
        <v>3</v>
      </c>
      <c r="R76" s="189">
        <v>305</v>
      </c>
      <c r="S76" s="82">
        <v>10446</v>
      </c>
    </row>
    <row r="77" spans="1:19" x14ac:dyDescent="0.2">
      <c r="A77" s="236" t="s">
        <v>107</v>
      </c>
      <c r="B77" s="93" t="s">
        <v>72</v>
      </c>
      <c r="C77" s="82">
        <v>5486</v>
      </c>
      <c r="D77" s="188">
        <v>226.2</v>
      </c>
      <c r="E77" s="189">
        <v>9955</v>
      </c>
      <c r="F77" s="189">
        <v>3241</v>
      </c>
      <c r="G77" s="190">
        <v>0.3255650426921145</v>
      </c>
      <c r="H77" s="189">
        <v>8135</v>
      </c>
      <c r="I77" s="189">
        <v>4377</v>
      </c>
      <c r="J77" s="190">
        <v>0.53804548248309769</v>
      </c>
      <c r="K77" s="189">
        <v>1561</v>
      </c>
      <c r="L77" s="189">
        <v>1379</v>
      </c>
      <c r="M77" s="190">
        <v>0.88340807174887892</v>
      </c>
      <c r="N77" s="189">
        <v>1707</v>
      </c>
      <c r="O77" s="189">
        <v>1510</v>
      </c>
      <c r="P77" s="190">
        <v>0.88459285295840651</v>
      </c>
      <c r="Q77" s="189">
        <v>3</v>
      </c>
      <c r="R77" s="189">
        <v>200</v>
      </c>
      <c r="S77" s="82">
        <v>5763</v>
      </c>
    </row>
    <row r="78" spans="1:19" x14ac:dyDescent="0.2">
      <c r="A78" s="236" t="s">
        <v>121</v>
      </c>
      <c r="B78" s="93" t="s">
        <v>83</v>
      </c>
      <c r="C78" s="82">
        <v>15522</v>
      </c>
      <c r="D78" s="188">
        <v>417.9</v>
      </c>
      <c r="E78" s="189">
        <v>14009</v>
      </c>
      <c r="F78" s="189">
        <v>6064</v>
      </c>
      <c r="G78" s="190">
        <v>0.43286458705118136</v>
      </c>
      <c r="H78" s="189">
        <v>17647</v>
      </c>
      <c r="I78" s="189">
        <v>13285</v>
      </c>
      <c r="J78" s="190">
        <v>0.75281917606392024</v>
      </c>
      <c r="K78" s="189">
        <v>2473</v>
      </c>
      <c r="L78" s="189">
        <v>2269</v>
      </c>
      <c r="M78" s="190">
        <v>0.91750909826122118</v>
      </c>
      <c r="N78" s="189">
        <v>7252</v>
      </c>
      <c r="O78" s="189">
        <v>5243</v>
      </c>
      <c r="P78" s="190">
        <v>0.72297297297297303</v>
      </c>
      <c r="Q78" s="189">
        <v>6</v>
      </c>
      <c r="R78" s="189">
        <v>23</v>
      </c>
      <c r="S78" s="82">
        <v>12393</v>
      </c>
    </row>
    <row r="79" spans="1:19" x14ac:dyDescent="0.2">
      <c r="A79" s="236" t="s">
        <v>198</v>
      </c>
      <c r="B79" s="93" t="s">
        <v>86</v>
      </c>
      <c r="C79" s="82">
        <v>2639</v>
      </c>
      <c r="D79" s="188">
        <v>296.5</v>
      </c>
      <c r="E79" s="189">
        <v>3204</v>
      </c>
      <c r="F79" s="189">
        <v>875</v>
      </c>
      <c r="G79" s="190">
        <v>0.27309612983770287</v>
      </c>
      <c r="H79" s="189">
        <v>4141</v>
      </c>
      <c r="I79" s="189">
        <v>2643</v>
      </c>
      <c r="J79" s="190">
        <v>0.6382516300410529</v>
      </c>
      <c r="K79" s="189">
        <v>672</v>
      </c>
      <c r="L79" s="189">
        <v>628</v>
      </c>
      <c r="M79" s="190">
        <v>0.93452380952380953</v>
      </c>
      <c r="N79" s="189">
        <v>2077</v>
      </c>
      <c r="O79" s="189">
        <v>1263</v>
      </c>
      <c r="P79" s="190">
        <v>0.608088589311507</v>
      </c>
      <c r="Q79" s="189">
        <v>0</v>
      </c>
      <c r="R79" s="189">
        <v>4</v>
      </c>
      <c r="S79" s="82">
        <v>5560</v>
      </c>
    </row>
    <row r="80" spans="1:19" x14ac:dyDescent="0.2">
      <c r="A80" s="236" t="s">
        <v>169</v>
      </c>
      <c r="B80" s="93" t="s">
        <v>91</v>
      </c>
      <c r="C80" s="82">
        <v>15200</v>
      </c>
      <c r="D80" s="188">
        <v>303</v>
      </c>
      <c r="E80" s="189">
        <v>30277</v>
      </c>
      <c r="F80" s="189">
        <v>13856</v>
      </c>
      <c r="G80" s="190">
        <v>0.45764111371668265</v>
      </c>
      <c r="H80" s="189">
        <v>19074</v>
      </c>
      <c r="I80" s="189">
        <v>11601</v>
      </c>
      <c r="J80" s="190">
        <v>0.60821012897137461</v>
      </c>
      <c r="K80" s="189">
        <v>2276</v>
      </c>
      <c r="L80" s="189">
        <v>1675</v>
      </c>
      <c r="M80" s="190">
        <v>0.73594024604569419</v>
      </c>
      <c r="N80" s="189">
        <v>25283</v>
      </c>
      <c r="O80" s="189">
        <v>18622</v>
      </c>
      <c r="P80" s="190">
        <v>0.73654234070323932</v>
      </c>
      <c r="Q80" s="189">
        <v>11</v>
      </c>
      <c r="R80" s="189">
        <v>203</v>
      </c>
      <c r="S80" s="82">
        <v>26609</v>
      </c>
    </row>
    <row r="81" spans="1:20" x14ac:dyDescent="0.2">
      <c r="A81" s="236" t="s">
        <v>416</v>
      </c>
      <c r="B81" s="96" t="s">
        <v>94</v>
      </c>
      <c r="C81" s="82">
        <v>48751</v>
      </c>
      <c r="D81" s="188">
        <v>387</v>
      </c>
      <c r="E81" s="189">
        <v>1401</v>
      </c>
      <c r="F81" s="189">
        <v>469</v>
      </c>
      <c r="G81" s="190">
        <v>0.33476088508208424</v>
      </c>
      <c r="H81" s="189">
        <v>49412</v>
      </c>
      <c r="I81" s="189">
        <v>43842</v>
      </c>
      <c r="J81" s="190">
        <v>0.88727434631263657</v>
      </c>
      <c r="K81" s="189">
        <v>136</v>
      </c>
      <c r="L81" s="189">
        <v>128</v>
      </c>
      <c r="M81" s="190">
        <v>0.94117647058823528</v>
      </c>
      <c r="N81" s="189">
        <v>753</v>
      </c>
      <c r="O81" s="189">
        <v>691</v>
      </c>
      <c r="P81" s="190">
        <v>0.91766268260292161</v>
      </c>
      <c r="Q81" s="189">
        <v>0</v>
      </c>
      <c r="R81" s="189">
        <v>2</v>
      </c>
      <c r="S81" s="82">
        <v>61</v>
      </c>
    </row>
    <row r="82" spans="1:20" x14ac:dyDescent="0.2">
      <c r="A82" s="236" t="s">
        <v>170</v>
      </c>
      <c r="B82" s="97" t="s">
        <v>97</v>
      </c>
      <c r="C82" s="82">
        <v>17581</v>
      </c>
      <c r="D82" s="196">
        <v>365.7</v>
      </c>
      <c r="E82" s="192">
        <v>28207</v>
      </c>
      <c r="F82" s="192">
        <v>11062</v>
      </c>
      <c r="G82" s="193">
        <v>0.39217215584783921</v>
      </c>
      <c r="H82" s="192">
        <v>23805</v>
      </c>
      <c r="I82" s="192">
        <v>16051</v>
      </c>
      <c r="J82" s="193">
        <v>0.674270111321151</v>
      </c>
      <c r="K82" s="192">
        <v>3504</v>
      </c>
      <c r="L82" s="192">
        <v>3244</v>
      </c>
      <c r="M82" s="193">
        <v>0.92579908675799083</v>
      </c>
      <c r="N82" s="192">
        <v>12737</v>
      </c>
      <c r="O82" s="192">
        <v>4725</v>
      </c>
      <c r="P82" s="193">
        <v>0.37096647562220303</v>
      </c>
      <c r="Q82" s="192">
        <v>0</v>
      </c>
      <c r="R82" s="192">
        <v>21</v>
      </c>
      <c r="S82" s="82">
        <v>9135</v>
      </c>
    </row>
    <row r="83" spans="1:20" x14ac:dyDescent="0.2">
      <c r="A83" s="70"/>
      <c r="B83" s="563"/>
      <c r="C83" s="563"/>
      <c r="D83" s="563"/>
      <c r="E83" s="563"/>
      <c r="F83" s="563"/>
      <c r="G83" s="563"/>
      <c r="H83" s="563"/>
      <c r="I83" s="563"/>
      <c r="J83" s="563"/>
      <c r="K83" s="563"/>
      <c r="L83" s="563"/>
      <c r="M83" s="563"/>
      <c r="N83" s="563"/>
      <c r="O83" s="563"/>
      <c r="P83" s="563"/>
      <c r="Q83" s="563"/>
      <c r="R83" s="563"/>
      <c r="S83" s="563"/>
    </row>
    <row r="84" spans="1:20" ht="23.25" customHeight="1" x14ac:dyDescent="0.4">
      <c r="A84" s="70"/>
      <c r="B84" s="12"/>
      <c r="C84" s="556" t="s">
        <v>353</v>
      </c>
      <c r="D84" s="557"/>
      <c r="E84" s="557"/>
      <c r="F84" s="557"/>
      <c r="G84" s="557"/>
      <c r="H84" s="557"/>
      <c r="I84" s="557"/>
      <c r="J84" s="557"/>
      <c r="K84" s="557"/>
      <c r="L84" s="557"/>
      <c r="M84" s="557"/>
      <c r="N84" s="557"/>
      <c r="O84" s="557"/>
      <c r="P84" s="557"/>
      <c r="Q84" s="557"/>
      <c r="R84" s="557"/>
      <c r="S84" s="558"/>
    </row>
    <row r="85" spans="1:20" x14ac:dyDescent="0.2">
      <c r="A85" s="70"/>
      <c r="B85" s="28"/>
      <c r="C85" s="559" t="s">
        <v>287</v>
      </c>
      <c r="D85" s="559"/>
      <c r="E85" s="553" t="s">
        <v>238</v>
      </c>
      <c r="F85" s="554"/>
      <c r="G85" s="555"/>
      <c r="H85" s="553" t="s">
        <v>8</v>
      </c>
      <c r="I85" s="554"/>
      <c r="J85" s="555"/>
      <c r="K85" s="553" t="s">
        <v>43</v>
      </c>
      <c r="L85" s="554"/>
      <c r="M85" s="555"/>
      <c r="N85" s="553" t="s">
        <v>9</v>
      </c>
      <c r="O85" s="554"/>
      <c r="P85" s="555"/>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73777</v>
      </c>
      <c r="D87" s="183">
        <v>330.4</v>
      </c>
      <c r="E87" s="184">
        <v>103722</v>
      </c>
      <c r="F87" s="184">
        <v>40938</v>
      </c>
      <c r="G87" s="186">
        <v>0.39468965118296984</v>
      </c>
      <c r="H87" s="184">
        <v>102942</v>
      </c>
      <c r="I87" s="184">
        <v>65073</v>
      </c>
      <c r="J87" s="186">
        <v>0.63213265722445644</v>
      </c>
      <c r="K87" s="184">
        <v>13337</v>
      </c>
      <c r="L87" s="184">
        <v>10926</v>
      </c>
      <c r="M87" s="186">
        <v>0.81922471320386892</v>
      </c>
      <c r="N87" s="184">
        <v>68385</v>
      </c>
      <c r="O87" s="184">
        <v>41388</v>
      </c>
      <c r="P87" s="186">
        <v>0.60522044307962275</v>
      </c>
      <c r="Q87" s="184">
        <v>619</v>
      </c>
      <c r="R87" s="184">
        <v>1484</v>
      </c>
      <c r="S87" s="81">
        <v>72196</v>
      </c>
    </row>
    <row r="88" spans="1:20" x14ac:dyDescent="0.2">
      <c r="A88" s="235" t="s">
        <v>178</v>
      </c>
      <c r="B88" s="93" t="s">
        <v>50</v>
      </c>
      <c r="C88" s="82">
        <v>5790</v>
      </c>
      <c r="D88" s="188">
        <v>498.5</v>
      </c>
      <c r="E88" s="189">
        <v>9114</v>
      </c>
      <c r="F88" s="189">
        <v>4683</v>
      </c>
      <c r="G88" s="190">
        <v>0.51382488479262678</v>
      </c>
      <c r="H88" s="189">
        <v>7457</v>
      </c>
      <c r="I88" s="189">
        <v>5557</v>
      </c>
      <c r="J88" s="190">
        <v>0.74520584685530378</v>
      </c>
      <c r="K88" s="189">
        <v>1430</v>
      </c>
      <c r="L88" s="189">
        <v>1346</v>
      </c>
      <c r="M88" s="190">
        <v>0.94125874125874121</v>
      </c>
      <c r="N88" s="189">
        <v>3701</v>
      </c>
      <c r="O88" s="189">
        <v>2717</v>
      </c>
      <c r="P88" s="190">
        <v>0.73412591191569843</v>
      </c>
      <c r="Q88" s="189">
        <v>2</v>
      </c>
      <c r="R88" s="189">
        <v>285</v>
      </c>
      <c r="S88" s="82">
        <v>7038</v>
      </c>
      <c r="T88" s="137"/>
    </row>
    <row r="89" spans="1:20" x14ac:dyDescent="0.2">
      <c r="A89" s="235" t="s">
        <v>182</v>
      </c>
      <c r="B89" s="93" t="s">
        <v>54</v>
      </c>
      <c r="C89" s="82">
        <v>1526</v>
      </c>
      <c r="D89" s="188">
        <v>128.69999999999999</v>
      </c>
      <c r="E89" s="189">
        <v>2803</v>
      </c>
      <c r="F89" s="189">
        <v>664</v>
      </c>
      <c r="G89" s="190">
        <v>0.23688904744916162</v>
      </c>
      <c r="H89" s="189">
        <v>2245</v>
      </c>
      <c r="I89" s="189">
        <v>1001</v>
      </c>
      <c r="J89" s="190">
        <v>0.44587973273942094</v>
      </c>
      <c r="K89" s="189">
        <v>273</v>
      </c>
      <c r="L89" s="189">
        <v>185</v>
      </c>
      <c r="M89" s="190">
        <v>0.67765567765567769</v>
      </c>
      <c r="N89" s="189">
        <v>6246</v>
      </c>
      <c r="O89" s="189">
        <v>1420</v>
      </c>
      <c r="P89" s="190">
        <v>0.22734550112071725</v>
      </c>
      <c r="Q89" s="189">
        <v>0</v>
      </c>
      <c r="R89" s="189">
        <v>15</v>
      </c>
      <c r="S89" s="82">
        <v>1152</v>
      </c>
      <c r="T89" s="137"/>
    </row>
    <row r="90" spans="1:20" x14ac:dyDescent="0.2">
      <c r="A90" s="235" t="s">
        <v>207</v>
      </c>
      <c r="B90" s="93" t="s">
        <v>56</v>
      </c>
      <c r="C90" s="82">
        <v>333</v>
      </c>
      <c r="D90" s="188">
        <v>78.5</v>
      </c>
      <c r="E90" s="189">
        <v>961</v>
      </c>
      <c r="F90" s="189">
        <v>288</v>
      </c>
      <c r="G90" s="190">
        <v>0.29968782518210196</v>
      </c>
      <c r="H90" s="189">
        <v>491</v>
      </c>
      <c r="I90" s="189">
        <v>61</v>
      </c>
      <c r="J90" s="190">
        <v>0.12423625254582485</v>
      </c>
      <c r="K90" s="189">
        <v>39</v>
      </c>
      <c r="L90" s="189">
        <v>23</v>
      </c>
      <c r="M90" s="190">
        <v>0.58974358974358976</v>
      </c>
      <c r="N90" s="189">
        <v>77</v>
      </c>
      <c r="O90" s="189">
        <v>28</v>
      </c>
      <c r="P90" s="190">
        <v>0.36363636363636365</v>
      </c>
      <c r="Q90" s="189">
        <v>0</v>
      </c>
      <c r="R90" s="189">
        <v>1</v>
      </c>
      <c r="S90" s="82">
        <v>428</v>
      </c>
      <c r="T90" s="137"/>
    </row>
    <row r="91" spans="1:20" x14ac:dyDescent="0.2">
      <c r="A91" s="235" t="s">
        <v>200</v>
      </c>
      <c r="B91" s="93" t="s">
        <v>60</v>
      </c>
      <c r="C91" s="82">
        <v>12238</v>
      </c>
      <c r="D91" s="188">
        <v>367.9</v>
      </c>
      <c r="E91" s="189">
        <v>21002</v>
      </c>
      <c r="F91" s="189">
        <v>10426</v>
      </c>
      <c r="G91" s="190">
        <v>0.49642891153223501</v>
      </c>
      <c r="H91" s="189">
        <v>16504</v>
      </c>
      <c r="I91" s="189">
        <v>11560</v>
      </c>
      <c r="J91" s="190">
        <v>0.70043625787687835</v>
      </c>
      <c r="K91" s="189">
        <v>1740</v>
      </c>
      <c r="L91" s="189">
        <v>1338</v>
      </c>
      <c r="M91" s="190">
        <v>0.76896551724137929</v>
      </c>
      <c r="N91" s="189">
        <v>6953</v>
      </c>
      <c r="O91" s="189">
        <v>5545</v>
      </c>
      <c r="P91" s="190">
        <v>0.7974974831008198</v>
      </c>
      <c r="Q91" s="189">
        <v>1</v>
      </c>
      <c r="R91" s="189">
        <v>225</v>
      </c>
      <c r="S91" s="82">
        <v>17908</v>
      </c>
      <c r="T91" s="137"/>
    </row>
    <row r="92" spans="1:20" x14ac:dyDescent="0.2">
      <c r="A92" s="235" t="s">
        <v>183</v>
      </c>
      <c r="B92" s="93" t="s">
        <v>64</v>
      </c>
      <c r="C92" s="82">
        <v>1801</v>
      </c>
      <c r="D92" s="188">
        <v>150.4</v>
      </c>
      <c r="E92" s="189">
        <v>2089</v>
      </c>
      <c r="F92" s="189">
        <v>368</v>
      </c>
      <c r="G92" s="190">
        <v>0.17616084250837721</v>
      </c>
      <c r="H92" s="189">
        <v>4085</v>
      </c>
      <c r="I92" s="189">
        <v>1454</v>
      </c>
      <c r="J92" s="190">
        <v>0.35593635250917993</v>
      </c>
      <c r="K92" s="189">
        <v>619</v>
      </c>
      <c r="L92" s="189">
        <v>490</v>
      </c>
      <c r="M92" s="190">
        <v>0.79159935379644586</v>
      </c>
      <c r="N92" s="189">
        <v>2147</v>
      </c>
      <c r="O92" s="189">
        <v>530</v>
      </c>
      <c r="P92" s="190">
        <v>0.24685607824871914</v>
      </c>
      <c r="Q92" s="189">
        <v>0</v>
      </c>
      <c r="R92" s="189">
        <v>15</v>
      </c>
      <c r="S92" s="82">
        <v>1481</v>
      </c>
      <c r="T92" s="137"/>
    </row>
    <row r="93" spans="1:20" x14ac:dyDescent="0.2">
      <c r="A93" s="235" t="s">
        <v>195</v>
      </c>
      <c r="B93" s="93" t="s">
        <v>65</v>
      </c>
      <c r="C93" s="82">
        <v>3897</v>
      </c>
      <c r="D93" s="188">
        <v>332.2</v>
      </c>
      <c r="E93" s="189">
        <v>3885</v>
      </c>
      <c r="F93" s="189">
        <v>1448</v>
      </c>
      <c r="G93" s="190">
        <v>0.37271557271557271</v>
      </c>
      <c r="H93" s="189">
        <v>6493</v>
      </c>
      <c r="I93" s="189">
        <v>3766</v>
      </c>
      <c r="J93" s="190">
        <v>0.5800092407207762</v>
      </c>
      <c r="K93" s="189">
        <v>2130</v>
      </c>
      <c r="L93" s="189">
        <v>1913</v>
      </c>
      <c r="M93" s="190">
        <v>0.89812206572769948</v>
      </c>
      <c r="N93" s="189">
        <v>28277</v>
      </c>
      <c r="O93" s="189">
        <v>20331</v>
      </c>
      <c r="P93" s="190">
        <v>0.71899423559783571</v>
      </c>
      <c r="Q93" s="189">
        <v>0</v>
      </c>
      <c r="R93" s="189">
        <v>159</v>
      </c>
      <c r="S93" s="82">
        <v>4854</v>
      </c>
      <c r="T93" s="137"/>
    </row>
    <row r="94" spans="1:20" x14ac:dyDescent="0.2">
      <c r="A94" s="235" t="s">
        <v>180</v>
      </c>
      <c r="B94" s="32" t="s">
        <v>70</v>
      </c>
      <c r="C94" s="82">
        <v>8119</v>
      </c>
      <c r="D94" s="188">
        <v>281.60000000000002</v>
      </c>
      <c r="E94" s="189">
        <v>6475</v>
      </c>
      <c r="F94" s="189">
        <v>1629</v>
      </c>
      <c r="G94" s="190">
        <v>0.25158301158301161</v>
      </c>
      <c r="H94" s="189">
        <v>11032</v>
      </c>
      <c r="I94" s="189">
        <v>6939</v>
      </c>
      <c r="J94" s="190">
        <v>0.62898839738941259</v>
      </c>
      <c r="K94" s="189">
        <v>303</v>
      </c>
      <c r="L94" s="189">
        <v>233</v>
      </c>
      <c r="M94" s="190">
        <v>0.76897689768976896</v>
      </c>
      <c r="N94" s="189">
        <v>466</v>
      </c>
      <c r="O94" s="189">
        <v>186</v>
      </c>
      <c r="P94" s="190">
        <v>0.39914163090128757</v>
      </c>
      <c r="Q94" s="189">
        <v>553</v>
      </c>
      <c r="R94" s="189">
        <v>0</v>
      </c>
      <c r="S94" s="82">
        <v>2806</v>
      </c>
      <c r="T94" s="137"/>
    </row>
    <row r="95" spans="1:20" x14ac:dyDescent="0.2">
      <c r="A95" s="235" t="s">
        <v>196</v>
      </c>
      <c r="B95" s="93" t="s">
        <v>36</v>
      </c>
      <c r="C95" s="82">
        <v>3689</v>
      </c>
      <c r="D95" s="188">
        <v>233.7</v>
      </c>
      <c r="E95" s="189">
        <v>8075</v>
      </c>
      <c r="F95" s="189">
        <v>2862</v>
      </c>
      <c r="G95" s="190">
        <v>0.35442724458204333</v>
      </c>
      <c r="H95" s="189">
        <v>7364</v>
      </c>
      <c r="I95" s="189">
        <v>2609</v>
      </c>
      <c r="J95" s="190">
        <v>0.35429114611624118</v>
      </c>
      <c r="K95" s="189">
        <v>1092</v>
      </c>
      <c r="L95" s="189">
        <v>592</v>
      </c>
      <c r="M95" s="190">
        <v>0.54212454212454209</v>
      </c>
      <c r="N95" s="189">
        <v>1128</v>
      </c>
      <c r="O95" s="189">
        <v>342</v>
      </c>
      <c r="P95" s="190">
        <v>0.30319148936170215</v>
      </c>
      <c r="Q95" s="189">
        <v>1</v>
      </c>
      <c r="R95" s="189">
        <v>83</v>
      </c>
      <c r="S95" s="82">
        <v>3605</v>
      </c>
      <c r="T95" s="137"/>
    </row>
    <row r="96" spans="1:20" x14ac:dyDescent="0.2">
      <c r="A96" s="235" t="s">
        <v>172</v>
      </c>
      <c r="B96" s="93" t="s">
        <v>73</v>
      </c>
      <c r="C96" s="82">
        <v>5958</v>
      </c>
      <c r="D96" s="188">
        <v>429</v>
      </c>
      <c r="E96" s="189">
        <v>7073</v>
      </c>
      <c r="F96" s="189">
        <v>3133</v>
      </c>
      <c r="G96" s="190">
        <v>0.4429520712568924</v>
      </c>
      <c r="H96" s="189">
        <v>6891</v>
      </c>
      <c r="I96" s="189">
        <v>4946</v>
      </c>
      <c r="J96" s="190">
        <v>0.7177477869685096</v>
      </c>
      <c r="K96" s="189">
        <v>590</v>
      </c>
      <c r="L96" s="189">
        <v>553</v>
      </c>
      <c r="M96" s="190">
        <v>0.93728813559322033</v>
      </c>
      <c r="N96" s="189">
        <v>2147</v>
      </c>
      <c r="O96" s="189">
        <v>1044</v>
      </c>
      <c r="P96" s="190">
        <v>0.48625989753143922</v>
      </c>
      <c r="Q96" s="189">
        <v>2</v>
      </c>
      <c r="R96" s="189">
        <v>317</v>
      </c>
      <c r="S96" s="82">
        <v>5155</v>
      </c>
      <c r="T96" s="137"/>
    </row>
    <row r="97" spans="1:21" x14ac:dyDescent="0.2">
      <c r="A97" s="235" t="s">
        <v>208</v>
      </c>
      <c r="B97" s="93" t="s">
        <v>88</v>
      </c>
      <c r="C97" s="82">
        <v>387</v>
      </c>
      <c r="D97" s="188">
        <v>77.900000000000006</v>
      </c>
      <c r="E97" s="189">
        <v>978</v>
      </c>
      <c r="F97" s="189">
        <v>260</v>
      </c>
      <c r="G97" s="190">
        <v>0.2658486707566462</v>
      </c>
      <c r="H97" s="189">
        <v>580</v>
      </c>
      <c r="I97" s="189">
        <v>105</v>
      </c>
      <c r="J97" s="190">
        <v>0.18103448275862069</v>
      </c>
      <c r="K97" s="189">
        <v>251</v>
      </c>
      <c r="L97" s="189">
        <v>93</v>
      </c>
      <c r="M97" s="190">
        <v>0.37051792828685259</v>
      </c>
      <c r="N97" s="189">
        <v>31</v>
      </c>
      <c r="O97" s="189">
        <v>17</v>
      </c>
      <c r="P97" s="190">
        <v>0.54838709677419351</v>
      </c>
      <c r="Q97" s="189">
        <v>0</v>
      </c>
      <c r="R97" s="189">
        <v>2</v>
      </c>
      <c r="S97" s="82">
        <v>204</v>
      </c>
      <c r="T97" s="137"/>
    </row>
    <row r="98" spans="1:21" x14ac:dyDescent="0.2">
      <c r="A98" s="235" t="s">
        <v>181</v>
      </c>
      <c r="B98" s="93" t="s">
        <v>89</v>
      </c>
      <c r="C98" s="82">
        <v>4807</v>
      </c>
      <c r="D98" s="188">
        <v>293</v>
      </c>
      <c r="E98" s="189">
        <v>6461</v>
      </c>
      <c r="F98" s="189">
        <v>2393</v>
      </c>
      <c r="G98" s="190">
        <v>0.37037610277046895</v>
      </c>
      <c r="H98" s="189">
        <v>7817</v>
      </c>
      <c r="I98" s="189">
        <v>5263</v>
      </c>
      <c r="J98" s="190">
        <v>0.67327619291288221</v>
      </c>
      <c r="K98" s="189">
        <v>2645</v>
      </c>
      <c r="L98" s="189">
        <v>2517</v>
      </c>
      <c r="M98" s="190">
        <v>0.95160680529300568</v>
      </c>
      <c r="N98" s="189">
        <v>5937</v>
      </c>
      <c r="O98" s="189">
        <v>4144</v>
      </c>
      <c r="P98" s="190">
        <v>0.69799562068384702</v>
      </c>
      <c r="Q98" s="189">
        <v>44</v>
      </c>
      <c r="R98" s="189">
        <v>139</v>
      </c>
      <c r="S98" s="82">
        <v>5913</v>
      </c>
      <c r="T98" s="137"/>
    </row>
    <row r="99" spans="1:21" x14ac:dyDescent="0.2">
      <c r="A99" s="235" t="s">
        <v>184</v>
      </c>
      <c r="B99" s="98" t="s">
        <v>90</v>
      </c>
      <c r="C99" s="82">
        <v>10441</v>
      </c>
      <c r="D99" s="188">
        <v>354</v>
      </c>
      <c r="E99" s="189">
        <v>11145</v>
      </c>
      <c r="F99" s="189">
        <v>2925</v>
      </c>
      <c r="G99" s="190">
        <v>0.26244952893674295</v>
      </c>
      <c r="H99" s="189">
        <v>13487</v>
      </c>
      <c r="I99" s="189">
        <v>10516</v>
      </c>
      <c r="J99" s="190">
        <v>0.77971379847260325</v>
      </c>
      <c r="K99" s="189">
        <v>597</v>
      </c>
      <c r="L99" s="189">
        <v>371</v>
      </c>
      <c r="M99" s="190">
        <v>0.62144053601340032</v>
      </c>
      <c r="N99" s="189">
        <v>2472</v>
      </c>
      <c r="O99" s="189">
        <v>1350</v>
      </c>
      <c r="P99" s="190">
        <v>0.54611650485436891</v>
      </c>
      <c r="Q99" s="189">
        <v>14</v>
      </c>
      <c r="R99" s="189">
        <v>0</v>
      </c>
      <c r="S99" s="82">
        <v>1610</v>
      </c>
      <c r="T99" s="137"/>
    </row>
    <row r="100" spans="1:21" x14ac:dyDescent="0.2">
      <c r="A100" s="235" t="s">
        <v>194</v>
      </c>
      <c r="B100" s="93" t="s">
        <v>93</v>
      </c>
      <c r="C100" s="82">
        <v>13581</v>
      </c>
      <c r="D100" s="188">
        <v>306.60000000000002</v>
      </c>
      <c r="E100" s="189">
        <v>20745</v>
      </c>
      <c r="F100" s="189">
        <v>8798</v>
      </c>
      <c r="G100" s="190">
        <v>0.42410219329959026</v>
      </c>
      <c r="H100" s="189">
        <v>16405</v>
      </c>
      <c r="I100" s="189">
        <v>10138</v>
      </c>
      <c r="J100" s="190">
        <v>0.61798232246266382</v>
      </c>
      <c r="K100" s="189">
        <v>1475</v>
      </c>
      <c r="L100" s="189">
        <v>1201</v>
      </c>
      <c r="M100" s="190">
        <v>0.81423728813559326</v>
      </c>
      <c r="N100" s="189">
        <v>6378</v>
      </c>
      <c r="O100" s="189">
        <v>2612</v>
      </c>
      <c r="P100" s="190">
        <v>0.40953276889306994</v>
      </c>
      <c r="Q100" s="189">
        <v>2</v>
      </c>
      <c r="R100" s="189">
        <v>229</v>
      </c>
      <c r="S100" s="82">
        <v>18513</v>
      </c>
      <c r="T100" s="137"/>
    </row>
    <row r="101" spans="1:21" x14ac:dyDescent="0.2">
      <c r="A101" s="235" t="s">
        <v>209</v>
      </c>
      <c r="B101" s="95" t="s">
        <v>95</v>
      </c>
      <c r="C101" s="82">
        <v>1210</v>
      </c>
      <c r="D101" s="188">
        <v>163.69999999999999</v>
      </c>
      <c r="E101" s="189">
        <v>2916</v>
      </c>
      <c r="F101" s="189">
        <v>1061</v>
      </c>
      <c r="G101" s="190">
        <v>0.36385459533607684</v>
      </c>
      <c r="H101" s="189">
        <v>2091</v>
      </c>
      <c r="I101" s="189">
        <v>1158</v>
      </c>
      <c r="J101" s="190">
        <v>0.55380200860832141</v>
      </c>
      <c r="K101" s="189">
        <v>153</v>
      </c>
      <c r="L101" s="189">
        <v>71</v>
      </c>
      <c r="M101" s="190">
        <v>0.46405228758169936</v>
      </c>
      <c r="N101" s="189">
        <v>2425</v>
      </c>
      <c r="O101" s="189">
        <v>1122</v>
      </c>
      <c r="P101" s="190">
        <v>0.462680412371134</v>
      </c>
      <c r="Q101" s="189">
        <v>0</v>
      </c>
      <c r="R101" s="189">
        <v>14</v>
      </c>
      <c r="S101" s="82">
        <v>1529</v>
      </c>
      <c r="T101" s="137"/>
    </row>
    <row r="102" spans="1:21" x14ac:dyDescent="0.2">
      <c r="A102" s="235"/>
      <c r="B102" s="92" t="s">
        <v>22</v>
      </c>
      <c r="C102" s="81">
        <v>81011</v>
      </c>
      <c r="D102" s="183">
        <v>391</v>
      </c>
      <c r="E102" s="184">
        <v>98551</v>
      </c>
      <c r="F102" s="184">
        <v>40440</v>
      </c>
      <c r="G102" s="186">
        <v>0.41034591226877454</v>
      </c>
      <c r="H102" s="184">
        <v>110245</v>
      </c>
      <c r="I102" s="184">
        <v>72421</v>
      </c>
      <c r="J102" s="186">
        <v>0.65690961041317064</v>
      </c>
      <c r="K102" s="184">
        <v>19103</v>
      </c>
      <c r="L102" s="184">
        <v>16364</v>
      </c>
      <c r="M102" s="186">
        <v>0.85661937915510655</v>
      </c>
      <c r="N102" s="184">
        <v>59621</v>
      </c>
      <c r="O102" s="184">
        <v>36836</v>
      </c>
      <c r="P102" s="186">
        <v>0.61783599738347228</v>
      </c>
      <c r="Q102" s="184">
        <v>353</v>
      </c>
      <c r="R102" s="184">
        <v>742</v>
      </c>
      <c r="S102" s="81">
        <v>45451</v>
      </c>
    </row>
    <row r="103" spans="1:21" x14ac:dyDescent="0.2">
      <c r="A103" s="235" t="s">
        <v>186</v>
      </c>
      <c r="B103" s="93" t="s">
        <v>44</v>
      </c>
      <c r="C103" s="82">
        <v>1527</v>
      </c>
      <c r="D103" s="188">
        <v>204.7</v>
      </c>
      <c r="E103" s="189">
        <v>3561</v>
      </c>
      <c r="F103" s="189">
        <v>1438</v>
      </c>
      <c r="G103" s="190">
        <v>0.40381915192361695</v>
      </c>
      <c r="H103" s="189">
        <v>2288</v>
      </c>
      <c r="I103" s="189">
        <v>1127</v>
      </c>
      <c r="J103" s="190">
        <v>0.49256993006993005</v>
      </c>
      <c r="K103" s="189">
        <v>145</v>
      </c>
      <c r="L103" s="189">
        <v>87</v>
      </c>
      <c r="M103" s="190">
        <v>0.6</v>
      </c>
      <c r="N103" s="189">
        <v>400</v>
      </c>
      <c r="O103" s="189">
        <v>287</v>
      </c>
      <c r="P103" s="190">
        <v>0.71750000000000003</v>
      </c>
      <c r="Q103" s="189">
        <v>0</v>
      </c>
      <c r="R103" s="189">
        <v>19</v>
      </c>
      <c r="S103" s="82">
        <v>1846</v>
      </c>
    </row>
    <row r="104" spans="1:21" x14ac:dyDescent="0.2">
      <c r="A104" s="235" t="s">
        <v>420</v>
      </c>
      <c r="B104" s="93" t="s">
        <v>45</v>
      </c>
      <c r="C104" s="82">
        <v>2450</v>
      </c>
      <c r="D104" s="188">
        <v>537.6</v>
      </c>
      <c r="E104" s="189">
        <v>991</v>
      </c>
      <c r="F104" s="189">
        <v>202</v>
      </c>
      <c r="G104" s="190">
        <v>0.20383451059535823</v>
      </c>
      <c r="H104" s="189">
        <v>3022</v>
      </c>
      <c r="I104" s="189">
        <v>2316</v>
      </c>
      <c r="J104" s="190">
        <v>0.76637988087359366</v>
      </c>
      <c r="K104" s="189">
        <v>1829</v>
      </c>
      <c r="L104" s="189">
        <v>1656</v>
      </c>
      <c r="M104" s="190">
        <v>0.90541279387643525</v>
      </c>
      <c r="N104" s="189">
        <v>212</v>
      </c>
      <c r="O104" s="189">
        <v>133</v>
      </c>
      <c r="P104" s="190">
        <v>0.62735849056603776</v>
      </c>
      <c r="Q104" s="189">
        <v>0</v>
      </c>
      <c r="R104" s="189">
        <v>3</v>
      </c>
      <c r="S104" s="82">
        <v>293</v>
      </c>
    </row>
    <row r="105" spans="1:21" x14ac:dyDescent="0.2">
      <c r="A105" s="235" t="s">
        <v>192</v>
      </c>
      <c r="B105" s="93" t="s">
        <v>47</v>
      </c>
      <c r="C105" s="82">
        <v>492</v>
      </c>
      <c r="D105" s="188">
        <v>98.8</v>
      </c>
      <c r="E105" s="189">
        <v>1506</v>
      </c>
      <c r="F105" s="189">
        <v>362</v>
      </c>
      <c r="G105" s="190">
        <v>0.2403718459495352</v>
      </c>
      <c r="H105" s="189">
        <v>764</v>
      </c>
      <c r="I105" s="189">
        <v>118</v>
      </c>
      <c r="J105" s="190">
        <v>0.15445026178010471</v>
      </c>
      <c r="K105" s="189">
        <v>219</v>
      </c>
      <c r="L105" s="189">
        <v>124</v>
      </c>
      <c r="M105" s="190">
        <v>0.56621004566210043</v>
      </c>
      <c r="N105" s="189">
        <v>244</v>
      </c>
      <c r="O105" s="189">
        <v>127</v>
      </c>
      <c r="P105" s="190">
        <v>0.52049180327868849</v>
      </c>
      <c r="Q105" s="189">
        <v>0</v>
      </c>
      <c r="R105" s="189">
        <v>12</v>
      </c>
      <c r="S105" s="82">
        <v>1011</v>
      </c>
    </row>
    <row r="106" spans="1:21" x14ac:dyDescent="0.2">
      <c r="A106" s="235" t="s">
        <v>421</v>
      </c>
      <c r="B106" s="32" t="s">
        <v>49</v>
      </c>
      <c r="C106" s="82">
        <v>624</v>
      </c>
      <c r="D106" s="188">
        <v>288.8</v>
      </c>
      <c r="E106" s="189">
        <v>877</v>
      </c>
      <c r="F106" s="189">
        <v>207</v>
      </c>
      <c r="G106" s="190">
        <v>0.23603192702394526</v>
      </c>
      <c r="H106" s="189">
        <v>987</v>
      </c>
      <c r="I106" s="189">
        <v>464</v>
      </c>
      <c r="J106" s="190">
        <v>0.47011144883485306</v>
      </c>
      <c r="K106" s="189">
        <v>89</v>
      </c>
      <c r="L106" s="189">
        <v>68</v>
      </c>
      <c r="M106" s="190">
        <v>0.7640449438202247</v>
      </c>
      <c r="N106" s="189">
        <v>724</v>
      </c>
      <c r="O106" s="189">
        <v>410</v>
      </c>
      <c r="P106" s="190">
        <v>0.56629834254143652</v>
      </c>
      <c r="Q106" s="189">
        <v>25</v>
      </c>
      <c r="R106" s="189">
        <v>8</v>
      </c>
      <c r="S106" s="82">
        <v>316</v>
      </c>
    </row>
    <row r="107" spans="1:21" x14ac:dyDescent="0.2">
      <c r="A107" s="235" t="s">
        <v>185</v>
      </c>
      <c r="B107" s="32" t="s">
        <v>53</v>
      </c>
      <c r="C107" s="82">
        <v>7549</v>
      </c>
      <c r="D107" s="188">
        <v>445.4</v>
      </c>
      <c r="E107" s="189">
        <v>8953</v>
      </c>
      <c r="F107" s="189">
        <v>4390</v>
      </c>
      <c r="G107" s="190">
        <v>0.49033843404445437</v>
      </c>
      <c r="H107" s="189">
        <v>9896</v>
      </c>
      <c r="I107" s="189">
        <v>7072</v>
      </c>
      <c r="J107" s="190">
        <v>0.71463217461600648</v>
      </c>
      <c r="K107" s="189">
        <v>2056</v>
      </c>
      <c r="L107" s="189">
        <v>1772</v>
      </c>
      <c r="M107" s="190">
        <v>0.86186770428015569</v>
      </c>
      <c r="N107" s="189">
        <v>7670</v>
      </c>
      <c r="O107" s="189">
        <v>4755</v>
      </c>
      <c r="P107" s="190">
        <v>0.61994784876140807</v>
      </c>
      <c r="Q107" s="189">
        <v>1</v>
      </c>
      <c r="R107" s="189">
        <v>48</v>
      </c>
      <c r="S107" s="82">
        <v>5223</v>
      </c>
      <c r="U107" s="17"/>
    </row>
    <row r="108" spans="1:21" x14ac:dyDescent="0.2">
      <c r="A108" s="235" t="s">
        <v>206</v>
      </c>
      <c r="B108" s="32" t="s">
        <v>57</v>
      </c>
      <c r="C108" s="82">
        <v>863</v>
      </c>
      <c r="D108" s="188">
        <v>202.7</v>
      </c>
      <c r="E108" s="189">
        <v>820</v>
      </c>
      <c r="F108" s="189">
        <v>106</v>
      </c>
      <c r="G108" s="190">
        <v>0.12926829268292683</v>
      </c>
      <c r="H108" s="189">
        <v>1259</v>
      </c>
      <c r="I108" s="189">
        <v>532</v>
      </c>
      <c r="J108" s="190">
        <v>0.42255758538522636</v>
      </c>
      <c r="K108" s="189">
        <v>356</v>
      </c>
      <c r="L108" s="189">
        <v>208</v>
      </c>
      <c r="M108" s="190">
        <v>0.5842696629213483</v>
      </c>
      <c r="N108" s="189">
        <v>89</v>
      </c>
      <c r="O108" s="189">
        <v>41</v>
      </c>
      <c r="P108" s="190">
        <v>0.4606741573033708</v>
      </c>
      <c r="Q108" s="189">
        <v>1</v>
      </c>
      <c r="R108" s="189">
        <v>2</v>
      </c>
      <c r="S108" s="82">
        <v>301</v>
      </c>
      <c r="U108"/>
    </row>
    <row r="109" spans="1:21" x14ac:dyDescent="0.2">
      <c r="A109" s="235" t="s">
        <v>210</v>
      </c>
      <c r="B109" s="93" t="s">
        <v>59</v>
      </c>
      <c r="C109" s="82">
        <v>1654</v>
      </c>
      <c r="D109" s="188">
        <v>221.3</v>
      </c>
      <c r="E109" s="189">
        <v>3124</v>
      </c>
      <c r="F109" s="189">
        <v>1366</v>
      </c>
      <c r="G109" s="190">
        <v>0.43725992317541612</v>
      </c>
      <c r="H109" s="189">
        <v>2236</v>
      </c>
      <c r="I109" s="189">
        <v>1244</v>
      </c>
      <c r="J109" s="190">
        <v>0.55635062611806796</v>
      </c>
      <c r="K109" s="189">
        <v>434</v>
      </c>
      <c r="L109" s="189">
        <v>393</v>
      </c>
      <c r="M109" s="190">
        <v>0.90552995391705071</v>
      </c>
      <c r="N109" s="189">
        <v>1235</v>
      </c>
      <c r="O109" s="189">
        <v>580</v>
      </c>
      <c r="P109" s="190">
        <v>0.46963562753036436</v>
      </c>
      <c r="Q109" s="189">
        <v>0</v>
      </c>
      <c r="R109" s="189">
        <v>4</v>
      </c>
      <c r="S109" s="82">
        <v>1027</v>
      </c>
      <c r="U109"/>
    </row>
    <row r="110" spans="1:21" x14ac:dyDescent="0.2">
      <c r="A110" s="235" t="s">
        <v>189</v>
      </c>
      <c r="B110" s="93" t="s">
        <v>66</v>
      </c>
      <c r="C110" s="82">
        <v>6291</v>
      </c>
      <c r="D110" s="188">
        <v>430.4</v>
      </c>
      <c r="E110" s="189">
        <v>14080</v>
      </c>
      <c r="F110" s="189">
        <v>7117</v>
      </c>
      <c r="G110" s="190">
        <v>0.50546875000000002</v>
      </c>
      <c r="H110" s="189">
        <v>8065</v>
      </c>
      <c r="I110" s="189">
        <v>5765</v>
      </c>
      <c r="J110" s="190">
        <v>0.71481711097334155</v>
      </c>
      <c r="K110" s="189">
        <v>1234</v>
      </c>
      <c r="L110" s="189">
        <v>1080</v>
      </c>
      <c r="M110" s="190">
        <v>0.87520259319286875</v>
      </c>
      <c r="N110" s="189">
        <v>6514</v>
      </c>
      <c r="O110" s="189">
        <v>2945</v>
      </c>
      <c r="P110" s="190">
        <v>0.45210316241940435</v>
      </c>
      <c r="Q110" s="189">
        <v>1</v>
      </c>
      <c r="R110" s="189">
        <v>36</v>
      </c>
      <c r="S110" s="82">
        <v>4562</v>
      </c>
      <c r="U110"/>
    </row>
    <row r="111" spans="1:21" x14ac:dyDescent="0.2">
      <c r="A111" s="235" t="s">
        <v>199</v>
      </c>
      <c r="B111" s="93" t="s">
        <v>69</v>
      </c>
      <c r="C111" s="82">
        <v>832</v>
      </c>
      <c r="D111" s="188">
        <v>164.4</v>
      </c>
      <c r="E111" s="189">
        <v>1322</v>
      </c>
      <c r="F111" s="189">
        <v>577</v>
      </c>
      <c r="G111" s="190">
        <v>0.43645990922844174</v>
      </c>
      <c r="H111" s="189">
        <v>894</v>
      </c>
      <c r="I111" s="189">
        <v>371</v>
      </c>
      <c r="J111" s="190">
        <v>0.41498881431767337</v>
      </c>
      <c r="K111" s="189">
        <v>147</v>
      </c>
      <c r="L111" s="189">
        <v>117</v>
      </c>
      <c r="M111" s="190">
        <v>0.79591836734693877</v>
      </c>
      <c r="N111" s="189">
        <v>1170</v>
      </c>
      <c r="O111" s="189">
        <v>591</v>
      </c>
      <c r="P111" s="190">
        <v>0.50512820512820511</v>
      </c>
      <c r="Q111" s="189">
        <v>318</v>
      </c>
      <c r="R111" s="189">
        <v>125</v>
      </c>
      <c r="S111" s="82">
        <v>1014</v>
      </c>
      <c r="U111"/>
    </row>
    <row r="112" spans="1:21" x14ac:dyDescent="0.2">
      <c r="A112" s="235" t="s">
        <v>188</v>
      </c>
      <c r="B112" s="93" t="s">
        <v>76</v>
      </c>
      <c r="C112" s="82">
        <v>8259</v>
      </c>
      <c r="D112" s="188">
        <v>431.4</v>
      </c>
      <c r="E112" s="189">
        <v>15046</v>
      </c>
      <c r="F112" s="189">
        <v>7430</v>
      </c>
      <c r="G112" s="190">
        <v>0.49381895520404095</v>
      </c>
      <c r="H112" s="189">
        <v>11376</v>
      </c>
      <c r="I112" s="189">
        <v>8805</v>
      </c>
      <c r="J112" s="190">
        <v>0.7739978902953587</v>
      </c>
      <c r="K112" s="189">
        <v>1947</v>
      </c>
      <c r="L112" s="189">
        <v>1748</v>
      </c>
      <c r="M112" s="190">
        <v>0.89779147406266047</v>
      </c>
      <c r="N112" s="189">
        <v>15760</v>
      </c>
      <c r="O112" s="189">
        <v>10397</v>
      </c>
      <c r="P112" s="190">
        <v>0.65970812182741112</v>
      </c>
      <c r="Q112" s="189">
        <v>0</v>
      </c>
      <c r="R112" s="189">
        <v>42</v>
      </c>
      <c r="S112" s="82">
        <v>8317</v>
      </c>
      <c r="U112"/>
    </row>
    <row r="113" spans="1:21" x14ac:dyDescent="0.2">
      <c r="A113" s="235" t="s">
        <v>190</v>
      </c>
      <c r="B113" s="93" t="s">
        <v>78</v>
      </c>
      <c r="C113" s="82">
        <v>5286</v>
      </c>
      <c r="D113" s="188">
        <v>314.8</v>
      </c>
      <c r="E113" s="189">
        <v>5891</v>
      </c>
      <c r="F113" s="189">
        <v>1884</v>
      </c>
      <c r="G113" s="190">
        <v>0.31980987947716855</v>
      </c>
      <c r="H113" s="189">
        <v>6196</v>
      </c>
      <c r="I113" s="189">
        <v>4074</v>
      </c>
      <c r="J113" s="190">
        <v>0.65752098127824399</v>
      </c>
      <c r="K113" s="189">
        <v>294</v>
      </c>
      <c r="L113" s="189">
        <v>217</v>
      </c>
      <c r="M113" s="190">
        <v>0.73809523809523814</v>
      </c>
      <c r="N113" s="189">
        <v>5888</v>
      </c>
      <c r="O113" s="189">
        <v>4830</v>
      </c>
      <c r="P113" s="190">
        <v>0.8203125</v>
      </c>
      <c r="Q113" s="189">
        <v>1</v>
      </c>
      <c r="R113" s="189">
        <v>64</v>
      </c>
      <c r="S113" s="82">
        <v>6747</v>
      </c>
      <c r="U113"/>
    </row>
    <row r="114" spans="1:21" x14ac:dyDescent="0.2">
      <c r="A114" s="235" t="s">
        <v>193</v>
      </c>
      <c r="B114" s="93" t="s">
        <v>80</v>
      </c>
      <c r="C114" s="82">
        <v>8437</v>
      </c>
      <c r="D114" s="188">
        <v>427.3</v>
      </c>
      <c r="E114" s="189">
        <v>6515</v>
      </c>
      <c r="F114" s="189">
        <v>2596</v>
      </c>
      <c r="G114" s="190">
        <v>0.3984650805832694</v>
      </c>
      <c r="H114" s="189">
        <v>10328</v>
      </c>
      <c r="I114" s="189">
        <v>7539</v>
      </c>
      <c r="J114" s="190">
        <v>0.72995739736638265</v>
      </c>
      <c r="K114" s="189">
        <v>3637</v>
      </c>
      <c r="L114" s="189">
        <v>3231</v>
      </c>
      <c r="M114" s="190">
        <v>0.88836953533131702</v>
      </c>
      <c r="N114" s="189">
        <v>1602</v>
      </c>
      <c r="O114" s="189">
        <v>826</v>
      </c>
      <c r="P114" s="190">
        <v>0.51560549313358306</v>
      </c>
      <c r="Q114" s="189">
        <v>0</v>
      </c>
      <c r="R114" s="189">
        <v>63</v>
      </c>
      <c r="S114" s="82">
        <v>5267</v>
      </c>
      <c r="U114"/>
    </row>
    <row r="115" spans="1:21" x14ac:dyDescent="0.2">
      <c r="A115" s="235" t="s">
        <v>197</v>
      </c>
      <c r="B115" s="93" t="s">
        <v>82</v>
      </c>
      <c r="C115" s="82">
        <v>3675</v>
      </c>
      <c r="D115" s="188">
        <v>465.9</v>
      </c>
      <c r="E115" s="189">
        <v>5285</v>
      </c>
      <c r="F115" s="189">
        <v>2702</v>
      </c>
      <c r="G115" s="190">
        <v>0.51125827814569536</v>
      </c>
      <c r="H115" s="189">
        <v>4013</v>
      </c>
      <c r="I115" s="189">
        <v>3158</v>
      </c>
      <c r="J115" s="190">
        <v>0.78694243707949163</v>
      </c>
      <c r="K115" s="189">
        <v>385</v>
      </c>
      <c r="L115" s="189">
        <v>356</v>
      </c>
      <c r="M115" s="190">
        <v>0.92467532467532465</v>
      </c>
      <c r="N115" s="189">
        <v>3748</v>
      </c>
      <c r="O115" s="189">
        <v>1960</v>
      </c>
      <c r="P115" s="190">
        <v>0.52294557097118466</v>
      </c>
      <c r="Q115" s="189">
        <v>0</v>
      </c>
      <c r="R115" s="189">
        <v>95</v>
      </c>
      <c r="S115" s="82">
        <v>2226</v>
      </c>
      <c r="U115"/>
    </row>
    <row r="116" spans="1:21" ht="13.5" customHeight="1" x14ac:dyDescent="0.2">
      <c r="A116" s="235" t="s">
        <v>187</v>
      </c>
      <c r="B116" s="32" t="s">
        <v>84</v>
      </c>
      <c r="C116" s="82">
        <v>10607</v>
      </c>
      <c r="D116" s="188">
        <v>381.5</v>
      </c>
      <c r="E116" s="189">
        <v>5721</v>
      </c>
      <c r="F116" s="189">
        <v>1507</v>
      </c>
      <c r="G116" s="190">
        <v>0.26341548680300647</v>
      </c>
      <c r="H116" s="189">
        <v>16553</v>
      </c>
      <c r="I116" s="189">
        <v>8267</v>
      </c>
      <c r="J116" s="190">
        <v>0.49942608590587811</v>
      </c>
      <c r="K116" s="189">
        <v>585</v>
      </c>
      <c r="L116" s="189">
        <v>357</v>
      </c>
      <c r="M116" s="190">
        <v>0.61025641025641031</v>
      </c>
      <c r="N116" s="189">
        <v>171</v>
      </c>
      <c r="O116" s="189">
        <v>89</v>
      </c>
      <c r="P116" s="190">
        <v>0.52046783625730997</v>
      </c>
      <c r="Q116" s="189">
        <v>0</v>
      </c>
      <c r="R116" s="189">
        <v>3</v>
      </c>
      <c r="S116" s="82">
        <v>390</v>
      </c>
      <c r="U116"/>
    </row>
    <row r="117" spans="1:21" x14ac:dyDescent="0.2">
      <c r="A117" s="235" t="s">
        <v>202</v>
      </c>
      <c r="B117" s="32" t="s">
        <v>85</v>
      </c>
      <c r="C117" s="82">
        <v>8624</v>
      </c>
      <c r="D117" s="188">
        <v>318.3</v>
      </c>
      <c r="E117" s="189">
        <v>13338</v>
      </c>
      <c r="F117" s="189">
        <v>2997</v>
      </c>
      <c r="G117" s="190">
        <v>0.22469635627530365</v>
      </c>
      <c r="H117" s="189">
        <v>12543</v>
      </c>
      <c r="I117" s="189">
        <v>6933</v>
      </c>
      <c r="J117" s="190">
        <v>0.5527385792872519</v>
      </c>
      <c r="K117" s="189">
        <v>1629</v>
      </c>
      <c r="L117" s="189">
        <v>1141</v>
      </c>
      <c r="M117" s="190">
        <v>0.70042971147943522</v>
      </c>
      <c r="N117" s="189">
        <v>1924</v>
      </c>
      <c r="O117" s="189">
        <v>1372</v>
      </c>
      <c r="P117" s="190">
        <v>0.71309771309771308</v>
      </c>
      <c r="Q117" s="189">
        <v>0</v>
      </c>
      <c r="R117" s="189">
        <v>68</v>
      </c>
      <c r="S117" s="82">
        <v>3563</v>
      </c>
      <c r="U117"/>
    </row>
    <row r="118" spans="1:21" x14ac:dyDescent="0.2">
      <c r="A118" s="235" t="s">
        <v>191</v>
      </c>
      <c r="B118" s="93" t="s">
        <v>87</v>
      </c>
      <c r="C118" s="82">
        <v>13841</v>
      </c>
      <c r="D118" s="197">
        <v>414.2</v>
      </c>
      <c r="E118" s="189">
        <v>11521</v>
      </c>
      <c r="F118" s="189">
        <v>5559</v>
      </c>
      <c r="G118" s="190">
        <v>0.48251019876746809</v>
      </c>
      <c r="H118" s="189">
        <v>19825</v>
      </c>
      <c r="I118" s="189">
        <v>14636</v>
      </c>
      <c r="J118" s="190">
        <v>0.73825977301387136</v>
      </c>
      <c r="K118" s="189">
        <v>4117</v>
      </c>
      <c r="L118" s="189">
        <v>3809</v>
      </c>
      <c r="M118" s="190">
        <v>0.92518824386689336</v>
      </c>
      <c r="N118" s="189">
        <v>12270</v>
      </c>
      <c r="O118" s="189">
        <v>7493</v>
      </c>
      <c r="P118" s="190">
        <v>0.61067644661776688</v>
      </c>
      <c r="Q118" s="189">
        <v>6</v>
      </c>
      <c r="R118" s="189">
        <v>150</v>
      </c>
      <c r="S118" s="82">
        <v>3348</v>
      </c>
      <c r="U118"/>
    </row>
    <row r="119" spans="1:21" x14ac:dyDescent="0.2">
      <c r="A119" s="235"/>
      <c r="B119" s="264" t="s">
        <v>435</v>
      </c>
      <c r="C119" s="268">
        <v>67</v>
      </c>
      <c r="D119" s="194">
        <v>629.29999999999995</v>
      </c>
      <c r="E119" s="195">
        <v>11</v>
      </c>
      <c r="F119" s="195">
        <v>9</v>
      </c>
      <c r="G119" s="185">
        <v>0.81818181818181823</v>
      </c>
      <c r="H119" s="195">
        <v>64</v>
      </c>
      <c r="I119" s="195">
        <v>59</v>
      </c>
      <c r="J119" s="185">
        <v>0.921875</v>
      </c>
      <c r="K119" s="195">
        <v>2</v>
      </c>
      <c r="L119" s="195">
        <v>2</v>
      </c>
      <c r="M119" s="185">
        <v>1</v>
      </c>
      <c r="N119" s="195">
        <v>10567</v>
      </c>
      <c r="O119" s="195">
        <v>2183</v>
      </c>
      <c r="P119" s="185">
        <v>0.20658654301126148</v>
      </c>
      <c r="Q119" s="195">
        <v>0</v>
      </c>
      <c r="R119" s="195">
        <v>10</v>
      </c>
      <c r="S119" s="265">
        <v>13278</v>
      </c>
      <c r="U119"/>
    </row>
    <row r="120" spans="1:21" ht="17.25" customHeight="1" x14ac:dyDescent="0.2">
      <c r="B120" s="563"/>
      <c r="C120" s="563"/>
      <c r="D120" s="563"/>
      <c r="E120" s="563"/>
      <c r="F120" s="563"/>
      <c r="G120" s="563"/>
      <c r="H120" s="563"/>
      <c r="I120" s="563"/>
      <c r="J120" s="563"/>
      <c r="K120" s="563"/>
      <c r="L120" s="563"/>
      <c r="M120" s="563"/>
      <c r="N120" s="563"/>
      <c r="O120" s="563"/>
      <c r="P120" s="563"/>
      <c r="Q120" s="563"/>
      <c r="R120" s="563"/>
      <c r="S120" s="563"/>
    </row>
    <row r="121" spans="1:21" ht="27" customHeight="1" x14ac:dyDescent="0.4">
      <c r="B121" s="13"/>
      <c r="C121" s="556" t="s">
        <v>354</v>
      </c>
      <c r="D121" s="557"/>
      <c r="E121" s="557"/>
      <c r="F121" s="557"/>
      <c r="G121" s="557"/>
      <c r="H121" s="557"/>
      <c r="I121" s="557"/>
      <c r="J121" s="557"/>
      <c r="K121" s="557"/>
      <c r="L121" s="557"/>
      <c r="M121" s="557"/>
      <c r="N121" s="557"/>
      <c r="O121" s="557"/>
      <c r="P121" s="557"/>
      <c r="Q121" s="557"/>
      <c r="R121" s="557"/>
      <c r="S121" s="558"/>
    </row>
    <row r="122" spans="1:21" x14ac:dyDescent="0.2">
      <c r="B122" s="30"/>
      <c r="C122" s="559" t="s">
        <v>287</v>
      </c>
      <c r="D122" s="559"/>
      <c r="E122" s="553" t="s">
        <v>238</v>
      </c>
      <c r="F122" s="554"/>
      <c r="G122" s="555"/>
      <c r="H122" s="553" t="s">
        <v>8</v>
      </c>
      <c r="I122" s="554"/>
      <c r="J122" s="555"/>
      <c r="K122" s="553" t="s">
        <v>43</v>
      </c>
      <c r="L122" s="554"/>
      <c r="M122" s="555"/>
      <c r="N122" s="553" t="s">
        <v>9</v>
      </c>
      <c r="O122" s="554"/>
      <c r="P122" s="555"/>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23299</v>
      </c>
      <c r="D124" s="198">
        <v>73.2</v>
      </c>
      <c r="E124" s="199">
        <v>23487</v>
      </c>
      <c r="F124" s="199">
        <v>2245</v>
      </c>
      <c r="G124" s="200">
        <v>9.5584791586835277E-2</v>
      </c>
      <c r="H124" s="199">
        <v>41776</v>
      </c>
      <c r="I124" s="199">
        <v>5078</v>
      </c>
      <c r="J124" s="200">
        <v>0.12155304481041747</v>
      </c>
      <c r="K124" s="199">
        <v>3485</v>
      </c>
      <c r="L124" s="199">
        <v>3444</v>
      </c>
      <c r="M124" s="200">
        <v>0.9882352941176471</v>
      </c>
      <c r="N124" s="199">
        <v>4351</v>
      </c>
      <c r="O124" s="199">
        <v>613</v>
      </c>
      <c r="P124" s="200">
        <v>0.14088715237876351</v>
      </c>
      <c r="Q124" s="199">
        <v>9766</v>
      </c>
      <c r="R124" s="199">
        <v>3872</v>
      </c>
      <c r="S124" s="85">
        <v>6179</v>
      </c>
    </row>
    <row r="125" spans="1:21" x14ac:dyDescent="0.2">
      <c r="A125" s="235" t="s">
        <v>414</v>
      </c>
      <c r="B125" s="15" t="s">
        <v>283</v>
      </c>
      <c r="C125" s="82">
        <v>12576</v>
      </c>
      <c r="D125" s="188">
        <v>91.2</v>
      </c>
      <c r="E125" s="189">
        <v>11089</v>
      </c>
      <c r="F125" s="189">
        <v>1560</v>
      </c>
      <c r="G125" s="190">
        <v>0.1406799531066823</v>
      </c>
      <c r="H125" s="189">
        <v>19975</v>
      </c>
      <c r="I125" s="189">
        <v>3500</v>
      </c>
      <c r="J125" s="190">
        <v>0.17521902377972465</v>
      </c>
      <c r="K125" s="189">
        <v>3040</v>
      </c>
      <c r="L125" s="189">
        <v>3010</v>
      </c>
      <c r="M125" s="190">
        <v>0.99013157894736847</v>
      </c>
      <c r="N125" s="189">
        <v>3575</v>
      </c>
      <c r="O125" s="189">
        <v>279</v>
      </c>
      <c r="P125" s="190">
        <v>7.8041958041958043E-2</v>
      </c>
      <c r="Q125" s="189">
        <v>1901</v>
      </c>
      <c r="R125" s="189">
        <v>2391</v>
      </c>
      <c r="S125" s="82">
        <v>2269</v>
      </c>
    </row>
    <row r="126" spans="1:21" x14ac:dyDescent="0.2">
      <c r="A126" s="237" t="s">
        <v>418</v>
      </c>
      <c r="B126" s="15" t="s">
        <v>284</v>
      </c>
      <c r="C126" s="82">
        <v>5429</v>
      </c>
      <c r="D126" s="188">
        <v>57.3</v>
      </c>
      <c r="E126" s="189">
        <v>5556</v>
      </c>
      <c r="F126" s="189">
        <v>357</v>
      </c>
      <c r="G126" s="190">
        <v>6.4254859611231105E-2</v>
      </c>
      <c r="H126" s="189">
        <v>10700</v>
      </c>
      <c r="I126" s="189">
        <v>696</v>
      </c>
      <c r="J126" s="190">
        <v>6.504672897196262E-2</v>
      </c>
      <c r="K126" s="189">
        <v>80</v>
      </c>
      <c r="L126" s="189">
        <v>77</v>
      </c>
      <c r="M126" s="190">
        <v>0.96250000000000002</v>
      </c>
      <c r="N126" s="189">
        <v>442</v>
      </c>
      <c r="O126" s="189">
        <v>111</v>
      </c>
      <c r="P126" s="190">
        <v>0.25113122171945701</v>
      </c>
      <c r="Q126" s="189">
        <v>3533</v>
      </c>
      <c r="R126" s="189">
        <v>456</v>
      </c>
      <c r="S126" s="82">
        <v>2280</v>
      </c>
    </row>
    <row r="127" spans="1:21" x14ac:dyDescent="0.2">
      <c r="A127" s="235" t="s">
        <v>419</v>
      </c>
      <c r="B127" s="18" t="s">
        <v>285</v>
      </c>
      <c r="C127" s="82">
        <v>5294</v>
      </c>
      <c r="D127" s="188">
        <v>46.8</v>
      </c>
      <c r="E127" s="189">
        <v>6579</v>
      </c>
      <c r="F127" s="189">
        <v>210</v>
      </c>
      <c r="G127" s="190">
        <v>3.1919744642042863E-2</v>
      </c>
      <c r="H127" s="189">
        <v>10040</v>
      </c>
      <c r="I127" s="189">
        <v>32</v>
      </c>
      <c r="J127" s="190">
        <v>3.1872509960159364E-3</v>
      </c>
      <c r="K127" s="189">
        <v>40</v>
      </c>
      <c r="L127" s="189">
        <v>39</v>
      </c>
      <c r="M127" s="190">
        <v>0.97499999999999998</v>
      </c>
      <c r="N127" s="189">
        <v>111</v>
      </c>
      <c r="O127" s="189">
        <v>25</v>
      </c>
      <c r="P127" s="190">
        <v>0.22522522522522523</v>
      </c>
      <c r="Q127" s="189">
        <v>4233</v>
      </c>
      <c r="R127" s="189">
        <v>1025</v>
      </c>
      <c r="S127" s="82">
        <v>1630</v>
      </c>
    </row>
    <row r="128" spans="1:21" x14ac:dyDescent="0.2">
      <c r="A128" s="70"/>
      <c r="B128" s="18" t="s">
        <v>27</v>
      </c>
      <c r="C128" s="201" t="s">
        <v>31</v>
      </c>
      <c r="D128" s="201" t="s">
        <v>31</v>
      </c>
      <c r="E128" s="202">
        <v>263</v>
      </c>
      <c r="F128" s="202">
        <v>118</v>
      </c>
      <c r="G128" s="203">
        <v>0.44866920152091255</v>
      </c>
      <c r="H128" s="202">
        <v>1061</v>
      </c>
      <c r="I128" s="202">
        <v>850</v>
      </c>
      <c r="J128" s="203">
        <v>0.80113100848256358</v>
      </c>
      <c r="K128" s="202">
        <v>325</v>
      </c>
      <c r="L128" s="202">
        <v>318</v>
      </c>
      <c r="M128" s="203">
        <v>0.97846153846153849</v>
      </c>
      <c r="N128" s="202">
        <v>223</v>
      </c>
      <c r="O128" s="202">
        <v>198</v>
      </c>
      <c r="P128" s="203">
        <v>0.88789237668161436</v>
      </c>
      <c r="Q128" s="202">
        <v>99</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61"/>
      <c r="H131" s="561"/>
      <c r="I131" s="561"/>
      <c r="J131" s="561"/>
      <c r="K131" s="561"/>
      <c r="L131" s="561"/>
      <c r="M131" s="561"/>
      <c r="N131" s="561"/>
      <c r="O131" s="561"/>
    </row>
    <row r="132" spans="2:19" x14ac:dyDescent="0.2">
      <c r="D132" s="48"/>
      <c r="G132" s="13"/>
      <c r="H132" s="562"/>
      <c r="I132" s="562"/>
      <c r="J132" s="562"/>
      <c r="K132" s="562"/>
      <c r="L132" s="562"/>
      <c r="M132" s="562"/>
      <c r="N132" s="562"/>
      <c r="O132" s="562"/>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8"/>
      <c r="H139" s="468"/>
      <c r="I139" s="468"/>
      <c r="J139" s="468"/>
      <c r="K139" s="468"/>
      <c r="L139" s="468"/>
      <c r="M139" s="468"/>
      <c r="N139" s="468"/>
      <c r="O139" s="468"/>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88" priority="117" stopIfTrue="1">
      <formula>ISERROR(B47)</formula>
    </cfRule>
  </conditionalFormatting>
  <conditionalFormatting sqref="D52">
    <cfRule type="expression" dxfId="87" priority="94" stopIfTrue="1">
      <formula>ISERROR(D52)</formula>
    </cfRule>
  </conditionalFormatting>
  <conditionalFormatting sqref="D129">
    <cfRule type="expression" dxfId="86" priority="93" stopIfTrue="1">
      <formula>ISERROR(D129)</formula>
    </cfRule>
  </conditionalFormatting>
  <conditionalFormatting sqref="Y32 I12:I13 O10">
    <cfRule type="expression" dxfId="85" priority="63" stopIfTrue="1">
      <formula>ISERROR(I10)</formula>
    </cfRule>
  </conditionalFormatting>
  <conditionalFormatting sqref="Y34:Y36">
    <cfRule type="expression" dxfId="84"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64" t="s">
        <v>280</v>
      </c>
      <c r="B1" s="564"/>
      <c r="C1" s="564"/>
      <c r="D1" s="38"/>
      <c r="E1" s="566" t="s">
        <v>280</v>
      </c>
      <c r="F1" s="567"/>
      <c r="G1" s="567"/>
      <c r="H1" s="567"/>
      <c r="I1" s="567"/>
      <c r="J1" s="567"/>
      <c r="K1" s="567"/>
      <c r="L1" s="567"/>
      <c r="M1" s="567"/>
      <c r="N1" s="567"/>
      <c r="O1" s="567"/>
      <c r="P1" s="567"/>
      <c r="Q1" s="567"/>
      <c r="R1" s="255"/>
      <c r="T1" s="565" t="s">
        <v>281</v>
      </c>
      <c r="U1" s="565"/>
      <c r="V1" s="565"/>
      <c r="W1" s="565"/>
      <c r="X1" s="565"/>
      <c r="Y1" s="565"/>
      <c r="Z1" s="565"/>
      <c r="AA1" s="565"/>
      <c r="AB1" s="565"/>
      <c r="AC1" s="565"/>
      <c r="AD1" s="565"/>
      <c r="AE1" s="565"/>
      <c r="AF1" s="565"/>
      <c r="AG1" s="565"/>
      <c r="AH1" s="565"/>
      <c r="AI1" s="243"/>
      <c r="AJ1" s="243"/>
      <c r="AK1" s="565" t="s">
        <v>423</v>
      </c>
      <c r="AL1" s="565"/>
      <c r="AM1" s="565"/>
      <c r="AN1" s="565"/>
      <c r="AO1" s="565"/>
      <c r="AP1" s="565"/>
      <c r="AQ1" s="565"/>
      <c r="AR1" s="565"/>
      <c r="AS1" s="565"/>
      <c r="AT1" s="565"/>
      <c r="AU1" s="565"/>
      <c r="AV1" s="565"/>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578981</v>
      </c>
      <c r="C3">
        <v>396659</v>
      </c>
      <c r="E3" t="s">
        <v>9</v>
      </c>
      <c r="F3">
        <v>11</v>
      </c>
      <c r="G3">
        <v>9</v>
      </c>
      <c r="H3">
        <v>64</v>
      </c>
      <c r="I3">
        <v>59</v>
      </c>
      <c r="J3">
        <v>2</v>
      </c>
      <c r="K3">
        <v>2</v>
      </c>
      <c r="L3">
        <v>10567</v>
      </c>
      <c r="M3">
        <v>2183</v>
      </c>
      <c r="N3">
        <v>0</v>
      </c>
      <c r="O3">
        <v>10</v>
      </c>
      <c r="P3">
        <v>629.29999999999995</v>
      </c>
      <c r="Q3">
        <v>67</v>
      </c>
      <c r="T3" t="s">
        <v>44</v>
      </c>
      <c r="U3">
        <v>3597</v>
      </c>
      <c r="V3">
        <v>118.3</v>
      </c>
      <c r="W3">
        <v>0.39033000000000001</v>
      </c>
      <c r="X3">
        <v>511</v>
      </c>
      <c r="Y3">
        <v>4670</v>
      </c>
      <c r="Z3">
        <v>179.5</v>
      </c>
      <c r="AA3">
        <v>185.7</v>
      </c>
      <c r="AB3">
        <v>3491</v>
      </c>
      <c r="AC3">
        <v>120.2</v>
      </c>
      <c r="AD3">
        <v>0.40103</v>
      </c>
      <c r="AE3">
        <v>502</v>
      </c>
      <c r="AF3">
        <v>4827</v>
      </c>
      <c r="AG3">
        <v>184</v>
      </c>
      <c r="AH3">
        <v>188</v>
      </c>
      <c r="AK3" t="s">
        <v>159</v>
      </c>
      <c r="AV3">
        <v>3618</v>
      </c>
      <c r="AX3">
        <v>12</v>
      </c>
      <c r="AY3">
        <v>23723</v>
      </c>
      <c r="AZ3" s="438">
        <v>41986</v>
      </c>
    </row>
    <row r="4" spans="1:52" x14ac:dyDescent="0.2">
      <c r="A4" t="s">
        <v>114</v>
      </c>
      <c r="B4">
        <v>120950</v>
      </c>
      <c r="C4">
        <v>86504</v>
      </c>
      <c r="E4" t="s">
        <v>9</v>
      </c>
      <c r="F4">
        <v>11</v>
      </c>
      <c r="G4">
        <v>9</v>
      </c>
      <c r="H4">
        <v>64</v>
      </c>
      <c r="I4">
        <v>59</v>
      </c>
      <c r="J4">
        <v>2</v>
      </c>
      <c r="K4">
        <v>2</v>
      </c>
      <c r="L4">
        <v>10567</v>
      </c>
      <c r="M4">
        <v>2183</v>
      </c>
      <c r="N4">
        <v>0</v>
      </c>
      <c r="O4">
        <v>10</v>
      </c>
      <c r="P4">
        <v>629.29999999999995</v>
      </c>
      <c r="Q4">
        <v>67</v>
      </c>
      <c r="T4" t="s">
        <v>45</v>
      </c>
      <c r="U4">
        <v>1136</v>
      </c>
      <c r="V4">
        <v>88</v>
      </c>
      <c r="W4">
        <v>0.18398</v>
      </c>
      <c r="X4">
        <v>190</v>
      </c>
      <c r="Y4">
        <v>1831</v>
      </c>
      <c r="Z4">
        <v>148.5</v>
      </c>
      <c r="AA4">
        <v>152.5</v>
      </c>
      <c r="AB4">
        <v>1088</v>
      </c>
      <c r="AC4">
        <v>90.6</v>
      </c>
      <c r="AD4">
        <v>0.19485</v>
      </c>
      <c r="AE4">
        <v>189</v>
      </c>
      <c r="AF4">
        <v>1871</v>
      </c>
      <c r="AG4">
        <v>149.30000000000001</v>
      </c>
      <c r="AH4">
        <v>153.1</v>
      </c>
      <c r="AK4" t="s">
        <v>160</v>
      </c>
      <c r="AV4">
        <v>642</v>
      </c>
    </row>
    <row r="5" spans="1:52" x14ac:dyDescent="0.2">
      <c r="A5" t="s">
        <v>106</v>
      </c>
      <c r="B5">
        <v>6923</v>
      </c>
      <c r="C5">
        <v>893</v>
      </c>
      <c r="E5" t="s">
        <v>93</v>
      </c>
      <c r="F5">
        <v>20745</v>
      </c>
      <c r="G5">
        <v>8798</v>
      </c>
      <c r="H5">
        <v>16405</v>
      </c>
      <c r="I5">
        <v>10138</v>
      </c>
      <c r="J5">
        <v>1475</v>
      </c>
      <c r="K5">
        <v>1201</v>
      </c>
      <c r="L5">
        <v>6378</v>
      </c>
      <c r="M5">
        <v>2612</v>
      </c>
      <c r="N5">
        <v>2</v>
      </c>
      <c r="O5">
        <v>229</v>
      </c>
      <c r="P5">
        <v>306.60000000000002</v>
      </c>
      <c r="Q5">
        <v>13581</v>
      </c>
      <c r="T5" t="s">
        <v>34</v>
      </c>
      <c r="U5">
        <v>20184</v>
      </c>
      <c r="V5">
        <v>125.6</v>
      </c>
      <c r="W5">
        <v>0.36801</v>
      </c>
      <c r="X5">
        <v>2733</v>
      </c>
      <c r="Y5">
        <v>29976</v>
      </c>
      <c r="Z5">
        <v>200.7</v>
      </c>
      <c r="AA5">
        <v>212.8</v>
      </c>
      <c r="AB5">
        <v>16530</v>
      </c>
      <c r="AC5">
        <v>124.7</v>
      </c>
      <c r="AD5">
        <v>0.35414000000000001</v>
      </c>
      <c r="AE5">
        <v>2368</v>
      </c>
      <c r="AF5">
        <v>25950</v>
      </c>
      <c r="AG5">
        <v>197.4</v>
      </c>
      <c r="AH5">
        <v>205.4</v>
      </c>
      <c r="AK5" t="s">
        <v>161</v>
      </c>
      <c r="AV5">
        <v>3485</v>
      </c>
    </row>
    <row r="6" spans="1:52" x14ac:dyDescent="0.2">
      <c r="A6" t="s">
        <v>107</v>
      </c>
      <c r="B6">
        <v>734</v>
      </c>
      <c r="C6">
        <v>101</v>
      </c>
      <c r="E6" t="s">
        <v>56</v>
      </c>
      <c r="F6">
        <v>961</v>
      </c>
      <c r="G6">
        <v>288</v>
      </c>
      <c r="H6">
        <v>491</v>
      </c>
      <c r="I6">
        <v>61</v>
      </c>
      <c r="J6">
        <v>39</v>
      </c>
      <c r="K6">
        <v>23</v>
      </c>
      <c r="L6">
        <v>77</v>
      </c>
      <c r="M6">
        <v>28</v>
      </c>
      <c r="N6">
        <v>0</v>
      </c>
      <c r="O6">
        <v>1</v>
      </c>
      <c r="P6">
        <v>78.5</v>
      </c>
      <c r="Q6">
        <v>333</v>
      </c>
      <c r="T6" t="s">
        <v>46</v>
      </c>
      <c r="U6">
        <v>7702</v>
      </c>
      <c r="V6">
        <v>180.5</v>
      </c>
      <c r="W6">
        <v>0.54895000000000005</v>
      </c>
      <c r="X6">
        <v>1312</v>
      </c>
      <c r="Y6">
        <v>9777</v>
      </c>
      <c r="Z6">
        <v>244.8</v>
      </c>
      <c r="AA6">
        <v>277</v>
      </c>
      <c r="AB6">
        <v>2103</v>
      </c>
      <c r="AC6">
        <v>136.4</v>
      </c>
      <c r="AD6">
        <v>0.37328</v>
      </c>
      <c r="AE6">
        <v>348</v>
      </c>
      <c r="AF6">
        <v>2713</v>
      </c>
      <c r="AG6">
        <v>205.6</v>
      </c>
      <c r="AH6">
        <v>312.3</v>
      </c>
      <c r="AK6" t="s">
        <v>162</v>
      </c>
      <c r="AV6">
        <v>1640</v>
      </c>
    </row>
    <row r="7" spans="1:52" x14ac:dyDescent="0.2">
      <c r="A7" t="s">
        <v>116</v>
      </c>
      <c r="B7">
        <v>242</v>
      </c>
      <c r="C7">
        <v>185</v>
      </c>
      <c r="E7" t="s">
        <v>50</v>
      </c>
      <c r="F7">
        <v>9114</v>
      </c>
      <c r="G7">
        <v>4683</v>
      </c>
      <c r="H7">
        <v>7457</v>
      </c>
      <c r="I7">
        <v>5557</v>
      </c>
      <c r="J7">
        <v>1430</v>
      </c>
      <c r="K7">
        <v>1346</v>
      </c>
      <c r="L7">
        <v>3701</v>
      </c>
      <c r="M7">
        <v>2717</v>
      </c>
      <c r="N7">
        <v>2</v>
      </c>
      <c r="O7">
        <v>285</v>
      </c>
      <c r="P7">
        <v>498.5</v>
      </c>
      <c r="Q7">
        <v>5790</v>
      </c>
      <c r="T7" t="s">
        <v>47</v>
      </c>
      <c r="U7">
        <v>1531</v>
      </c>
      <c r="V7">
        <v>92.5</v>
      </c>
      <c r="W7">
        <v>0.23971000000000001</v>
      </c>
      <c r="X7">
        <v>203</v>
      </c>
      <c r="Y7">
        <v>2784</v>
      </c>
      <c r="Z7">
        <v>142.5</v>
      </c>
      <c r="AA7">
        <v>150.5</v>
      </c>
      <c r="AB7">
        <v>2473</v>
      </c>
      <c r="AC7">
        <v>125.5</v>
      </c>
      <c r="AD7">
        <v>0.41165000000000002</v>
      </c>
      <c r="AE7">
        <v>305</v>
      </c>
      <c r="AF7">
        <v>3503</v>
      </c>
      <c r="AG7">
        <v>162</v>
      </c>
      <c r="AH7">
        <v>163.30000000000001</v>
      </c>
      <c r="AK7" t="s">
        <v>163</v>
      </c>
      <c r="AV7">
        <v>928</v>
      </c>
    </row>
    <row r="8" spans="1:52" x14ac:dyDescent="0.2">
      <c r="A8" t="s">
        <v>108</v>
      </c>
      <c r="B8">
        <v>104</v>
      </c>
      <c r="C8">
        <v>69</v>
      </c>
      <c r="E8" t="s">
        <v>60</v>
      </c>
      <c r="F8">
        <v>21002</v>
      </c>
      <c r="G8">
        <v>10426</v>
      </c>
      <c r="H8">
        <v>16504</v>
      </c>
      <c r="I8">
        <v>11560</v>
      </c>
      <c r="J8">
        <v>1740</v>
      </c>
      <c r="K8">
        <v>1338</v>
      </c>
      <c r="L8">
        <v>6953</v>
      </c>
      <c r="M8">
        <v>5545</v>
      </c>
      <c r="N8">
        <v>1</v>
      </c>
      <c r="O8">
        <v>225</v>
      </c>
      <c r="P8">
        <v>367.9</v>
      </c>
      <c r="Q8">
        <v>12238</v>
      </c>
      <c r="T8" t="s">
        <v>48</v>
      </c>
      <c r="U8">
        <v>4411</v>
      </c>
      <c r="V8">
        <v>150.4</v>
      </c>
      <c r="W8">
        <v>0.48492000000000002</v>
      </c>
      <c r="X8">
        <v>679</v>
      </c>
      <c r="Y8">
        <v>6561</v>
      </c>
      <c r="Z8">
        <v>200.1</v>
      </c>
      <c r="AA8">
        <v>231.9</v>
      </c>
      <c r="AB8">
        <v>3955</v>
      </c>
      <c r="AC8">
        <v>121.8</v>
      </c>
      <c r="AD8">
        <v>0.36181999999999997</v>
      </c>
      <c r="AE8">
        <v>525</v>
      </c>
      <c r="AF8">
        <v>5307</v>
      </c>
      <c r="AG8">
        <v>174.7</v>
      </c>
      <c r="AH8">
        <v>225.3</v>
      </c>
      <c r="AK8" t="s">
        <v>164</v>
      </c>
      <c r="AV8">
        <v>2621</v>
      </c>
    </row>
    <row r="9" spans="1:52" x14ac:dyDescent="0.2">
      <c r="A9" t="s">
        <v>466</v>
      </c>
      <c r="B9">
        <v>1</v>
      </c>
      <c r="C9">
        <v>1</v>
      </c>
      <c r="E9" t="s">
        <v>64</v>
      </c>
      <c r="F9">
        <v>2089</v>
      </c>
      <c r="G9">
        <v>368</v>
      </c>
      <c r="H9">
        <v>4085</v>
      </c>
      <c r="I9">
        <v>1454</v>
      </c>
      <c r="J9">
        <v>619</v>
      </c>
      <c r="K9">
        <v>490</v>
      </c>
      <c r="L9">
        <v>2147</v>
      </c>
      <c r="M9">
        <v>530</v>
      </c>
      <c r="N9">
        <v>0</v>
      </c>
      <c r="O9">
        <v>15</v>
      </c>
      <c r="P9">
        <v>150.4</v>
      </c>
      <c r="Q9">
        <v>1801</v>
      </c>
      <c r="T9" t="s">
        <v>33</v>
      </c>
      <c r="U9">
        <v>5487</v>
      </c>
      <c r="V9">
        <v>140.1</v>
      </c>
      <c r="W9">
        <v>0.47384999999999999</v>
      </c>
      <c r="X9">
        <v>634</v>
      </c>
      <c r="Y9">
        <v>6804</v>
      </c>
      <c r="Z9">
        <v>223.6</v>
      </c>
      <c r="AA9">
        <v>228.1</v>
      </c>
      <c r="AB9">
        <v>4437</v>
      </c>
      <c r="AC9">
        <v>128.69999999999999</v>
      </c>
      <c r="AD9">
        <v>0.40050000000000002</v>
      </c>
      <c r="AE9">
        <v>486</v>
      </c>
      <c r="AF9">
        <v>6212</v>
      </c>
      <c r="AG9">
        <v>238.9</v>
      </c>
      <c r="AH9">
        <v>230.6</v>
      </c>
      <c r="AK9" t="s">
        <v>115</v>
      </c>
      <c r="AV9">
        <v>3703</v>
      </c>
    </row>
    <row r="10" spans="1:52" x14ac:dyDescent="0.2">
      <c r="A10" t="s">
        <v>140</v>
      </c>
      <c r="B10">
        <v>541</v>
      </c>
      <c r="C10">
        <v>257</v>
      </c>
      <c r="E10" t="s">
        <v>95</v>
      </c>
      <c r="F10">
        <v>2916</v>
      </c>
      <c r="G10">
        <v>1061</v>
      </c>
      <c r="H10">
        <v>2091</v>
      </c>
      <c r="I10">
        <v>1158</v>
      </c>
      <c r="J10">
        <v>153</v>
      </c>
      <c r="K10">
        <v>71</v>
      </c>
      <c r="L10">
        <v>2425</v>
      </c>
      <c r="M10">
        <v>1122</v>
      </c>
      <c r="N10">
        <v>0</v>
      </c>
      <c r="O10">
        <v>14</v>
      </c>
      <c r="P10">
        <v>163.69999999999999</v>
      </c>
      <c r="Q10">
        <v>1210</v>
      </c>
      <c r="T10" t="s">
        <v>151</v>
      </c>
      <c r="U10">
        <v>101680</v>
      </c>
      <c r="V10">
        <v>132.6</v>
      </c>
      <c r="W10">
        <v>0.40383999999999998</v>
      </c>
      <c r="X10">
        <v>15298</v>
      </c>
      <c r="Y10">
        <v>148692</v>
      </c>
      <c r="Z10">
        <v>177.4</v>
      </c>
      <c r="AA10">
        <v>192.7</v>
      </c>
      <c r="AB10">
        <v>108547</v>
      </c>
      <c r="AC10">
        <v>132.80000000000001</v>
      </c>
      <c r="AD10">
        <v>0.41044999999999998</v>
      </c>
      <c r="AE10">
        <v>16461</v>
      </c>
      <c r="AF10">
        <v>161660</v>
      </c>
      <c r="AG10">
        <v>180.2</v>
      </c>
      <c r="AH10">
        <v>198.5</v>
      </c>
      <c r="AK10" t="s">
        <v>165</v>
      </c>
      <c r="AV10">
        <v>2961</v>
      </c>
    </row>
    <row r="11" spans="1:52" x14ac:dyDescent="0.2">
      <c r="A11" t="s">
        <v>113</v>
      </c>
      <c r="B11">
        <v>261</v>
      </c>
      <c r="C11">
        <v>176</v>
      </c>
      <c r="E11" t="s">
        <v>36</v>
      </c>
      <c r="F11">
        <v>8075</v>
      </c>
      <c r="G11">
        <v>2862</v>
      </c>
      <c r="H11">
        <v>7364</v>
      </c>
      <c r="I11">
        <v>2609</v>
      </c>
      <c r="J11">
        <v>1092</v>
      </c>
      <c r="K11">
        <v>592</v>
      </c>
      <c r="L11">
        <v>1128</v>
      </c>
      <c r="M11">
        <v>342</v>
      </c>
      <c r="N11">
        <v>1</v>
      </c>
      <c r="O11">
        <v>83</v>
      </c>
      <c r="P11">
        <v>233.7</v>
      </c>
      <c r="Q11">
        <v>3689</v>
      </c>
      <c r="T11" t="s">
        <v>49</v>
      </c>
      <c r="U11">
        <v>911</v>
      </c>
      <c r="V11">
        <v>86.1</v>
      </c>
      <c r="W11">
        <v>0.23271</v>
      </c>
      <c r="X11">
        <v>171</v>
      </c>
      <c r="Y11">
        <v>1706</v>
      </c>
      <c r="Z11">
        <v>130.5</v>
      </c>
      <c r="AA11">
        <v>137.6</v>
      </c>
      <c r="AB11">
        <v>1227</v>
      </c>
      <c r="AC11">
        <v>96.1</v>
      </c>
      <c r="AD11">
        <v>0.27954000000000001</v>
      </c>
      <c r="AE11">
        <v>136</v>
      </c>
      <c r="AF11">
        <v>1872</v>
      </c>
      <c r="AG11">
        <v>162.1</v>
      </c>
      <c r="AH11">
        <v>160.30000000000001</v>
      </c>
      <c r="AK11" t="s">
        <v>166</v>
      </c>
      <c r="AV11">
        <v>5150</v>
      </c>
    </row>
    <row r="12" spans="1:52" x14ac:dyDescent="0.2">
      <c r="A12" t="s">
        <v>130</v>
      </c>
      <c r="B12">
        <v>6440</v>
      </c>
      <c r="C12">
        <v>323</v>
      </c>
      <c r="E12" t="s">
        <v>90</v>
      </c>
      <c r="F12">
        <v>11145</v>
      </c>
      <c r="G12">
        <v>2925</v>
      </c>
      <c r="H12">
        <v>13487</v>
      </c>
      <c r="I12">
        <v>10516</v>
      </c>
      <c r="J12">
        <v>597</v>
      </c>
      <c r="K12">
        <v>371</v>
      </c>
      <c r="L12">
        <v>2472</v>
      </c>
      <c r="M12">
        <v>1350</v>
      </c>
      <c r="N12">
        <v>14</v>
      </c>
      <c r="O12">
        <v>0</v>
      </c>
      <c r="P12">
        <v>354</v>
      </c>
      <c r="Q12">
        <v>10441</v>
      </c>
      <c r="T12" t="s">
        <v>50</v>
      </c>
      <c r="U12">
        <v>9411</v>
      </c>
      <c r="V12">
        <v>165.5</v>
      </c>
      <c r="W12">
        <v>0.51705000000000001</v>
      </c>
      <c r="X12">
        <v>1328</v>
      </c>
      <c r="Y12">
        <v>13151</v>
      </c>
      <c r="Z12">
        <v>218.5</v>
      </c>
      <c r="AA12">
        <v>242</v>
      </c>
      <c r="AB12">
        <v>5878</v>
      </c>
      <c r="AC12">
        <v>162.4</v>
      </c>
      <c r="AD12">
        <v>0.44267000000000001</v>
      </c>
      <c r="AE12">
        <v>846</v>
      </c>
      <c r="AF12">
        <v>9137</v>
      </c>
      <c r="AG12">
        <v>224.8</v>
      </c>
      <c r="AH12">
        <v>264.3</v>
      </c>
      <c r="AK12" t="s">
        <v>175</v>
      </c>
      <c r="AV12">
        <v>13249</v>
      </c>
    </row>
    <row r="13" spans="1:52" x14ac:dyDescent="0.2">
      <c r="A13" t="s">
        <v>148</v>
      </c>
      <c r="B13">
        <v>729</v>
      </c>
      <c r="C13">
        <v>18</v>
      </c>
      <c r="E13" t="s">
        <v>70</v>
      </c>
      <c r="F13">
        <v>6475</v>
      </c>
      <c r="G13">
        <v>1629</v>
      </c>
      <c r="H13">
        <v>11032</v>
      </c>
      <c r="I13">
        <v>6939</v>
      </c>
      <c r="J13">
        <v>303</v>
      </c>
      <c r="K13">
        <v>233</v>
      </c>
      <c r="L13">
        <v>466</v>
      </c>
      <c r="M13">
        <v>186</v>
      </c>
      <c r="N13">
        <v>553</v>
      </c>
      <c r="O13">
        <v>0</v>
      </c>
      <c r="P13">
        <v>281.60000000000002</v>
      </c>
      <c r="Q13">
        <v>8119</v>
      </c>
      <c r="T13" t="s">
        <v>51</v>
      </c>
      <c r="U13">
        <v>9198</v>
      </c>
      <c r="V13">
        <v>110.8</v>
      </c>
      <c r="W13">
        <v>0.29887000000000002</v>
      </c>
      <c r="X13">
        <v>1366</v>
      </c>
      <c r="Y13">
        <v>16857</v>
      </c>
      <c r="Z13">
        <v>152.30000000000001</v>
      </c>
      <c r="AA13">
        <v>173.1</v>
      </c>
      <c r="AB13">
        <v>13717</v>
      </c>
      <c r="AC13">
        <v>138.30000000000001</v>
      </c>
      <c r="AD13">
        <v>0.42282999999999998</v>
      </c>
      <c r="AE13">
        <v>2123</v>
      </c>
      <c r="AF13">
        <v>20415</v>
      </c>
      <c r="AG13">
        <v>183.6</v>
      </c>
      <c r="AH13">
        <v>183.5</v>
      </c>
      <c r="AK13" t="s">
        <v>176</v>
      </c>
      <c r="AV13">
        <v>7649</v>
      </c>
    </row>
    <row r="14" spans="1:52" x14ac:dyDescent="0.2">
      <c r="A14" t="s">
        <v>137</v>
      </c>
      <c r="B14">
        <v>5</v>
      </c>
      <c r="C14">
        <v>3</v>
      </c>
      <c r="E14" t="s">
        <v>89</v>
      </c>
      <c r="F14">
        <v>6461</v>
      </c>
      <c r="G14">
        <v>2393</v>
      </c>
      <c r="H14">
        <v>7817</v>
      </c>
      <c r="I14">
        <v>5263</v>
      </c>
      <c r="J14">
        <v>2645</v>
      </c>
      <c r="K14">
        <v>2517</v>
      </c>
      <c r="L14">
        <v>5937</v>
      </c>
      <c r="M14">
        <v>4144</v>
      </c>
      <c r="N14">
        <v>44</v>
      </c>
      <c r="O14">
        <v>139</v>
      </c>
      <c r="P14">
        <v>293</v>
      </c>
      <c r="Q14">
        <v>4807</v>
      </c>
      <c r="T14" t="s">
        <v>52</v>
      </c>
      <c r="U14">
        <v>11370</v>
      </c>
      <c r="V14">
        <v>122.7</v>
      </c>
      <c r="W14">
        <v>0.35787000000000002</v>
      </c>
      <c r="X14">
        <v>1622</v>
      </c>
      <c r="Y14">
        <v>18394</v>
      </c>
      <c r="Z14">
        <v>188.7</v>
      </c>
      <c r="AA14">
        <v>211.9</v>
      </c>
      <c r="AB14">
        <v>11904</v>
      </c>
      <c r="AC14">
        <v>118.5</v>
      </c>
      <c r="AD14">
        <v>0.31980999999999998</v>
      </c>
      <c r="AE14">
        <v>1647</v>
      </c>
      <c r="AF14">
        <v>16659</v>
      </c>
      <c r="AG14">
        <v>178.1</v>
      </c>
      <c r="AH14">
        <v>209.4</v>
      </c>
      <c r="AK14" t="s">
        <v>179</v>
      </c>
      <c r="AV14">
        <v>6276</v>
      </c>
    </row>
    <row r="15" spans="1:52" x14ac:dyDescent="0.2">
      <c r="A15" t="s">
        <v>468</v>
      </c>
      <c r="B15">
        <v>1</v>
      </c>
      <c r="C15">
        <v>1</v>
      </c>
      <c r="E15" t="s">
        <v>54</v>
      </c>
      <c r="F15">
        <v>2803</v>
      </c>
      <c r="G15">
        <v>664</v>
      </c>
      <c r="H15">
        <v>2245</v>
      </c>
      <c r="I15">
        <v>1001</v>
      </c>
      <c r="J15">
        <v>273</v>
      </c>
      <c r="K15">
        <v>185</v>
      </c>
      <c r="L15">
        <v>6246</v>
      </c>
      <c r="M15">
        <v>1420</v>
      </c>
      <c r="N15">
        <v>0</v>
      </c>
      <c r="O15">
        <v>15</v>
      </c>
      <c r="P15">
        <v>128.69999999999999</v>
      </c>
      <c r="Q15">
        <v>1526</v>
      </c>
      <c r="T15" t="s">
        <v>53</v>
      </c>
      <c r="U15">
        <v>8760</v>
      </c>
      <c r="V15">
        <v>142.4</v>
      </c>
      <c r="W15">
        <v>0.45662000000000003</v>
      </c>
      <c r="X15">
        <v>1120</v>
      </c>
      <c r="Y15">
        <v>10829</v>
      </c>
      <c r="Z15">
        <v>193.6</v>
      </c>
      <c r="AA15">
        <v>218.9</v>
      </c>
      <c r="AB15">
        <v>8006</v>
      </c>
      <c r="AC15">
        <v>135.9</v>
      </c>
      <c r="AD15">
        <v>0.41919000000000001</v>
      </c>
      <c r="AE15">
        <v>1091</v>
      </c>
      <c r="AF15">
        <v>11089</v>
      </c>
      <c r="AG15">
        <v>181.3</v>
      </c>
      <c r="AH15">
        <v>220.7</v>
      </c>
      <c r="AK15" t="s">
        <v>412</v>
      </c>
      <c r="AV15">
        <v>1461</v>
      </c>
    </row>
    <row r="16" spans="1:52" x14ac:dyDescent="0.2">
      <c r="A16" t="s">
        <v>110</v>
      </c>
      <c r="B16">
        <v>27</v>
      </c>
      <c r="C16">
        <v>25</v>
      </c>
      <c r="E16" t="s">
        <v>65</v>
      </c>
      <c r="F16">
        <v>3885</v>
      </c>
      <c r="G16">
        <v>1448</v>
      </c>
      <c r="H16">
        <v>6493</v>
      </c>
      <c r="I16">
        <v>3766</v>
      </c>
      <c r="J16">
        <v>2130</v>
      </c>
      <c r="K16">
        <v>1913</v>
      </c>
      <c r="L16">
        <v>28277</v>
      </c>
      <c r="M16">
        <v>20331</v>
      </c>
      <c r="N16">
        <v>0</v>
      </c>
      <c r="O16">
        <v>159</v>
      </c>
      <c r="P16">
        <v>332.2</v>
      </c>
      <c r="Q16">
        <v>3897</v>
      </c>
      <c r="T16" t="s">
        <v>54</v>
      </c>
      <c r="U16">
        <v>2861</v>
      </c>
      <c r="V16">
        <v>92.8</v>
      </c>
      <c r="W16">
        <v>0.23279</v>
      </c>
      <c r="X16">
        <v>306</v>
      </c>
      <c r="Y16">
        <v>4639</v>
      </c>
      <c r="Z16">
        <v>152.9</v>
      </c>
      <c r="AA16">
        <v>156.30000000000001</v>
      </c>
      <c r="AB16">
        <v>4477</v>
      </c>
      <c r="AC16">
        <v>138.9</v>
      </c>
      <c r="AD16">
        <v>0.43913000000000002</v>
      </c>
      <c r="AE16">
        <v>534</v>
      </c>
      <c r="AF16">
        <v>6333</v>
      </c>
      <c r="AG16">
        <v>195.5</v>
      </c>
      <c r="AH16">
        <v>181.9</v>
      </c>
      <c r="AK16" t="s">
        <v>201</v>
      </c>
      <c r="AV16">
        <v>737</v>
      </c>
    </row>
    <row r="17" spans="1:48" x14ac:dyDescent="0.2">
      <c r="A17" t="s">
        <v>138</v>
      </c>
      <c r="B17">
        <v>207</v>
      </c>
      <c r="C17">
        <v>179</v>
      </c>
      <c r="E17" t="s">
        <v>73</v>
      </c>
      <c r="F17">
        <v>7073</v>
      </c>
      <c r="G17">
        <v>3133</v>
      </c>
      <c r="H17">
        <v>6891</v>
      </c>
      <c r="I17">
        <v>4946</v>
      </c>
      <c r="J17">
        <v>590</v>
      </c>
      <c r="K17">
        <v>553</v>
      </c>
      <c r="L17">
        <v>2147</v>
      </c>
      <c r="M17">
        <v>1044</v>
      </c>
      <c r="N17">
        <v>2</v>
      </c>
      <c r="O17">
        <v>317</v>
      </c>
      <c r="P17">
        <v>429</v>
      </c>
      <c r="Q17">
        <v>5958</v>
      </c>
      <c r="T17" t="s">
        <v>55</v>
      </c>
      <c r="U17">
        <v>9054</v>
      </c>
      <c r="V17">
        <v>113.1</v>
      </c>
      <c r="W17">
        <v>0.33875</v>
      </c>
      <c r="X17">
        <v>1110</v>
      </c>
      <c r="Y17">
        <v>13721</v>
      </c>
      <c r="Z17">
        <v>177</v>
      </c>
      <c r="AA17">
        <v>185.2</v>
      </c>
      <c r="AB17">
        <v>10710</v>
      </c>
      <c r="AC17">
        <v>119.2</v>
      </c>
      <c r="AD17">
        <v>0.36312</v>
      </c>
      <c r="AE17">
        <v>1368</v>
      </c>
      <c r="AF17">
        <v>15019</v>
      </c>
      <c r="AG17">
        <v>182</v>
      </c>
      <c r="AH17">
        <v>185.5</v>
      </c>
      <c r="AK17" t="s">
        <v>203</v>
      </c>
      <c r="AV17">
        <v>341</v>
      </c>
    </row>
    <row r="18" spans="1:48" x14ac:dyDescent="0.2">
      <c r="A18" t="s">
        <v>142</v>
      </c>
      <c r="B18">
        <v>36</v>
      </c>
      <c r="C18">
        <v>20</v>
      </c>
      <c r="E18" t="s">
        <v>88</v>
      </c>
      <c r="F18">
        <v>978</v>
      </c>
      <c r="G18">
        <v>260</v>
      </c>
      <c r="H18">
        <v>580</v>
      </c>
      <c r="I18">
        <v>105</v>
      </c>
      <c r="J18">
        <v>251</v>
      </c>
      <c r="K18">
        <v>93</v>
      </c>
      <c r="L18">
        <v>31</v>
      </c>
      <c r="M18">
        <v>17</v>
      </c>
      <c r="N18">
        <v>0</v>
      </c>
      <c r="O18">
        <v>2</v>
      </c>
      <c r="P18">
        <v>77.900000000000006</v>
      </c>
      <c r="Q18">
        <v>387</v>
      </c>
      <c r="T18" t="s">
        <v>149</v>
      </c>
      <c r="U18">
        <v>76313</v>
      </c>
      <c r="V18">
        <v>138</v>
      </c>
      <c r="W18">
        <v>0.42831000000000002</v>
      </c>
      <c r="X18">
        <v>12310</v>
      </c>
      <c r="Y18">
        <v>125519</v>
      </c>
      <c r="Z18">
        <v>182.3</v>
      </c>
      <c r="AA18">
        <v>196.6</v>
      </c>
      <c r="AB18">
        <v>83025</v>
      </c>
      <c r="AC18">
        <v>138.6</v>
      </c>
      <c r="AD18">
        <v>0.43729000000000001</v>
      </c>
      <c r="AE18">
        <v>13027</v>
      </c>
      <c r="AF18">
        <v>130628</v>
      </c>
      <c r="AG18">
        <v>182.4</v>
      </c>
      <c r="AH18">
        <v>195.4</v>
      </c>
      <c r="AK18" t="s">
        <v>413</v>
      </c>
      <c r="AV18">
        <v>22</v>
      </c>
    </row>
    <row r="19" spans="1:48" x14ac:dyDescent="0.2">
      <c r="A19" t="s">
        <v>135</v>
      </c>
      <c r="B19">
        <v>15678</v>
      </c>
      <c r="C19">
        <v>1413</v>
      </c>
      <c r="E19" t="s">
        <v>151</v>
      </c>
      <c r="F19">
        <v>103722</v>
      </c>
      <c r="G19">
        <v>40938</v>
      </c>
      <c r="H19">
        <v>102942</v>
      </c>
      <c r="I19">
        <v>65073</v>
      </c>
      <c r="J19">
        <v>13337</v>
      </c>
      <c r="K19">
        <v>10926</v>
      </c>
      <c r="L19">
        <v>68385</v>
      </c>
      <c r="M19">
        <v>41388</v>
      </c>
      <c r="N19">
        <v>619</v>
      </c>
      <c r="O19">
        <v>1484</v>
      </c>
      <c r="P19">
        <v>330.4</v>
      </c>
      <c r="Q19">
        <v>73777</v>
      </c>
      <c r="T19" t="s">
        <v>56</v>
      </c>
      <c r="U19">
        <v>1012</v>
      </c>
      <c r="V19">
        <v>99.3</v>
      </c>
      <c r="W19">
        <v>0.28556999999999999</v>
      </c>
      <c r="X19">
        <v>192</v>
      </c>
      <c r="Y19">
        <v>1903</v>
      </c>
      <c r="Z19">
        <v>129.19999999999999</v>
      </c>
      <c r="AA19">
        <v>140.4</v>
      </c>
      <c r="AB19">
        <v>1606</v>
      </c>
      <c r="AC19">
        <v>117.3</v>
      </c>
      <c r="AD19">
        <v>0.37048999999999999</v>
      </c>
      <c r="AE19">
        <v>246</v>
      </c>
      <c r="AF19">
        <v>2363</v>
      </c>
      <c r="AG19">
        <v>148.1</v>
      </c>
      <c r="AH19">
        <v>157</v>
      </c>
      <c r="AK19" t="s">
        <v>105</v>
      </c>
      <c r="AV19">
        <v>125</v>
      </c>
    </row>
    <row r="20" spans="1:48" x14ac:dyDescent="0.2">
      <c r="A20" t="s">
        <v>467</v>
      </c>
      <c r="B20">
        <v>1</v>
      </c>
      <c r="C20">
        <v>1</v>
      </c>
      <c r="E20" t="s">
        <v>92</v>
      </c>
      <c r="F20">
        <v>1281</v>
      </c>
      <c r="G20">
        <v>397</v>
      </c>
      <c r="H20">
        <v>1817</v>
      </c>
      <c r="I20">
        <v>1030</v>
      </c>
      <c r="J20">
        <v>616</v>
      </c>
      <c r="K20">
        <v>494</v>
      </c>
      <c r="L20">
        <v>3818</v>
      </c>
      <c r="M20">
        <v>1885</v>
      </c>
      <c r="N20">
        <v>0</v>
      </c>
      <c r="O20">
        <v>0</v>
      </c>
      <c r="P20">
        <v>245.6</v>
      </c>
      <c r="Q20">
        <v>1170</v>
      </c>
      <c r="T20" t="s">
        <v>205</v>
      </c>
      <c r="U20">
        <v>844</v>
      </c>
      <c r="V20">
        <v>68.8</v>
      </c>
      <c r="W20">
        <v>0.12795999999999999</v>
      </c>
      <c r="X20">
        <v>106</v>
      </c>
      <c r="Y20">
        <v>1994</v>
      </c>
      <c r="Z20">
        <v>110</v>
      </c>
      <c r="AA20">
        <v>104.1</v>
      </c>
      <c r="AB20">
        <v>2540</v>
      </c>
      <c r="AC20">
        <v>172.5</v>
      </c>
      <c r="AD20">
        <v>0.56693000000000005</v>
      </c>
      <c r="AE20">
        <v>327</v>
      </c>
      <c r="AF20">
        <v>3377</v>
      </c>
      <c r="AG20">
        <v>211.1</v>
      </c>
      <c r="AH20">
        <v>152.5</v>
      </c>
      <c r="AK20" t="s">
        <v>212</v>
      </c>
      <c r="AV20">
        <v>228</v>
      </c>
    </row>
    <row r="21" spans="1:48" x14ac:dyDescent="0.2">
      <c r="A21" t="s">
        <v>123</v>
      </c>
      <c r="B21">
        <v>57</v>
      </c>
      <c r="C21">
        <v>49</v>
      </c>
      <c r="E21" t="s">
        <v>48</v>
      </c>
      <c r="F21">
        <v>4287</v>
      </c>
      <c r="G21">
        <v>2117</v>
      </c>
      <c r="H21">
        <v>5965</v>
      </c>
      <c r="I21">
        <v>4722</v>
      </c>
      <c r="J21">
        <v>2097</v>
      </c>
      <c r="K21">
        <v>1922</v>
      </c>
      <c r="L21">
        <v>889</v>
      </c>
      <c r="M21">
        <v>809</v>
      </c>
      <c r="N21">
        <v>2</v>
      </c>
      <c r="O21">
        <v>9</v>
      </c>
      <c r="P21">
        <v>522.29999999999995</v>
      </c>
      <c r="Q21">
        <v>4538</v>
      </c>
      <c r="T21" t="s">
        <v>58</v>
      </c>
      <c r="U21">
        <v>2149</v>
      </c>
      <c r="V21">
        <v>100.1</v>
      </c>
      <c r="W21">
        <v>0.31317</v>
      </c>
      <c r="X21">
        <v>268</v>
      </c>
      <c r="Y21">
        <v>3498</v>
      </c>
      <c r="Z21">
        <v>173.9</v>
      </c>
      <c r="AA21">
        <v>161</v>
      </c>
      <c r="AB21">
        <v>3687</v>
      </c>
      <c r="AC21">
        <v>122.6</v>
      </c>
      <c r="AD21">
        <v>0.43124000000000001</v>
      </c>
      <c r="AE21">
        <v>478</v>
      </c>
      <c r="AF21">
        <v>5196</v>
      </c>
      <c r="AG21">
        <v>192.2</v>
      </c>
      <c r="AH21">
        <v>179.8</v>
      </c>
      <c r="AK21" t="s">
        <v>414</v>
      </c>
      <c r="AV21">
        <v>2269</v>
      </c>
    </row>
    <row r="22" spans="1:48" x14ac:dyDescent="0.2">
      <c r="A22" t="s">
        <v>121</v>
      </c>
      <c r="B22">
        <v>62</v>
      </c>
      <c r="C22">
        <v>53</v>
      </c>
      <c r="E22" t="s">
        <v>75</v>
      </c>
      <c r="F22">
        <v>2754</v>
      </c>
      <c r="G22">
        <v>1075</v>
      </c>
      <c r="H22">
        <v>1275</v>
      </c>
      <c r="I22">
        <v>531</v>
      </c>
      <c r="J22">
        <v>87</v>
      </c>
      <c r="K22">
        <v>78</v>
      </c>
      <c r="L22">
        <v>2557</v>
      </c>
      <c r="M22">
        <v>928</v>
      </c>
      <c r="N22">
        <v>0</v>
      </c>
      <c r="O22">
        <v>4</v>
      </c>
      <c r="P22">
        <v>143.19999999999999</v>
      </c>
      <c r="Q22">
        <v>693</v>
      </c>
      <c r="T22" t="s">
        <v>59</v>
      </c>
      <c r="U22">
        <v>3136</v>
      </c>
      <c r="V22">
        <v>134</v>
      </c>
      <c r="W22">
        <v>0.43175999999999998</v>
      </c>
      <c r="X22">
        <v>455</v>
      </c>
      <c r="Y22">
        <v>4484</v>
      </c>
      <c r="Z22">
        <v>188.9</v>
      </c>
      <c r="AA22">
        <v>214.7</v>
      </c>
      <c r="AB22">
        <v>2591</v>
      </c>
      <c r="AC22">
        <v>118.3</v>
      </c>
      <c r="AD22">
        <v>0.33152999999999999</v>
      </c>
      <c r="AE22">
        <v>362</v>
      </c>
      <c r="AF22">
        <v>3827</v>
      </c>
      <c r="AG22">
        <v>180.3</v>
      </c>
      <c r="AH22">
        <v>210.3</v>
      </c>
      <c r="AK22" t="s">
        <v>415</v>
      </c>
      <c r="AV22">
        <v>57105</v>
      </c>
    </row>
    <row r="23" spans="1:48" x14ac:dyDescent="0.2">
      <c r="A23" t="s">
        <v>112</v>
      </c>
      <c r="B23">
        <v>104474</v>
      </c>
      <c r="C23">
        <v>54968</v>
      </c>
      <c r="E23" t="s">
        <v>33</v>
      </c>
      <c r="F23">
        <v>5425</v>
      </c>
      <c r="G23">
        <v>2586</v>
      </c>
      <c r="H23">
        <v>2494</v>
      </c>
      <c r="I23">
        <v>929</v>
      </c>
      <c r="J23">
        <v>73</v>
      </c>
      <c r="K23">
        <v>47</v>
      </c>
      <c r="L23">
        <v>634</v>
      </c>
      <c r="M23">
        <v>434</v>
      </c>
      <c r="N23">
        <v>1</v>
      </c>
      <c r="O23">
        <v>7</v>
      </c>
      <c r="P23">
        <v>153.30000000000001</v>
      </c>
      <c r="Q23">
        <v>1633</v>
      </c>
      <c r="T23" t="s">
        <v>60</v>
      </c>
      <c r="U23">
        <v>21513</v>
      </c>
      <c r="V23">
        <v>159.5</v>
      </c>
      <c r="W23">
        <v>0.48696</v>
      </c>
      <c r="X23">
        <v>2862</v>
      </c>
      <c r="Y23">
        <v>27268</v>
      </c>
      <c r="Z23">
        <v>200.4</v>
      </c>
      <c r="AA23">
        <v>219.3</v>
      </c>
      <c r="AB23">
        <v>13801</v>
      </c>
      <c r="AC23">
        <v>151.19999999999999</v>
      </c>
      <c r="AD23">
        <v>0.41924</v>
      </c>
      <c r="AE23">
        <v>1941</v>
      </c>
      <c r="AF23">
        <v>20806</v>
      </c>
      <c r="AG23">
        <v>193.3</v>
      </c>
      <c r="AH23">
        <v>226.9</v>
      </c>
      <c r="AK23" t="s">
        <v>121</v>
      </c>
      <c r="AV23">
        <v>12393</v>
      </c>
    </row>
    <row r="24" spans="1:48" x14ac:dyDescent="0.2">
      <c r="A24" t="s">
        <v>28</v>
      </c>
      <c r="B24">
        <v>368</v>
      </c>
      <c r="C24">
        <v>248</v>
      </c>
      <c r="E24" t="s">
        <v>55</v>
      </c>
      <c r="F24">
        <v>8740</v>
      </c>
      <c r="G24">
        <v>2942</v>
      </c>
      <c r="H24">
        <v>5239</v>
      </c>
      <c r="I24">
        <v>3080</v>
      </c>
      <c r="J24">
        <v>811</v>
      </c>
      <c r="K24">
        <v>725</v>
      </c>
      <c r="L24">
        <v>6434</v>
      </c>
      <c r="M24">
        <v>920</v>
      </c>
      <c r="N24">
        <v>3</v>
      </c>
      <c r="O24">
        <v>192</v>
      </c>
      <c r="P24">
        <v>226.5</v>
      </c>
      <c r="Q24">
        <v>3230</v>
      </c>
      <c r="T24" t="s">
        <v>61</v>
      </c>
      <c r="U24">
        <v>3202</v>
      </c>
      <c r="V24">
        <v>94</v>
      </c>
      <c r="W24">
        <v>0.2742</v>
      </c>
      <c r="X24">
        <v>258</v>
      </c>
      <c r="Y24">
        <v>4697</v>
      </c>
      <c r="Z24">
        <v>138.5</v>
      </c>
      <c r="AA24">
        <v>152.4</v>
      </c>
      <c r="AB24">
        <v>6677</v>
      </c>
      <c r="AC24">
        <v>144.6</v>
      </c>
      <c r="AD24">
        <v>0.48165000000000002</v>
      </c>
      <c r="AE24">
        <v>786</v>
      </c>
      <c r="AF24">
        <v>9409</v>
      </c>
      <c r="AG24">
        <v>204.2</v>
      </c>
      <c r="AH24">
        <v>180.6</v>
      </c>
      <c r="AK24" t="s">
        <v>167</v>
      </c>
      <c r="AV24">
        <v>2142</v>
      </c>
    </row>
    <row r="25" spans="1:48" x14ac:dyDescent="0.2">
      <c r="A25" t="s">
        <v>104</v>
      </c>
      <c r="B25">
        <v>108244</v>
      </c>
      <c r="C25">
        <v>47216</v>
      </c>
      <c r="E25" t="s">
        <v>58</v>
      </c>
      <c r="F25">
        <v>2012</v>
      </c>
      <c r="G25">
        <v>663</v>
      </c>
      <c r="H25">
        <v>2897</v>
      </c>
      <c r="I25">
        <v>1774</v>
      </c>
      <c r="J25">
        <v>252</v>
      </c>
      <c r="K25">
        <v>166</v>
      </c>
      <c r="L25">
        <v>2314</v>
      </c>
      <c r="M25">
        <v>1342</v>
      </c>
      <c r="N25">
        <v>0</v>
      </c>
      <c r="O25">
        <v>3</v>
      </c>
      <c r="P25">
        <v>253.8</v>
      </c>
      <c r="Q25">
        <v>1527</v>
      </c>
      <c r="T25" t="s">
        <v>62</v>
      </c>
      <c r="U25">
        <v>7552</v>
      </c>
      <c r="V25">
        <v>146.69999999999999</v>
      </c>
      <c r="W25">
        <v>0.44174000000000002</v>
      </c>
      <c r="X25">
        <v>1292</v>
      </c>
      <c r="Y25">
        <v>10634</v>
      </c>
      <c r="Z25">
        <v>211.7</v>
      </c>
      <c r="AA25">
        <v>233.9</v>
      </c>
      <c r="AB25">
        <v>5127</v>
      </c>
      <c r="AC25">
        <v>144.19999999999999</v>
      </c>
      <c r="AD25">
        <v>0.39731</v>
      </c>
      <c r="AE25">
        <v>896</v>
      </c>
      <c r="AF25">
        <v>8203</v>
      </c>
      <c r="AG25">
        <v>219.8</v>
      </c>
      <c r="AH25">
        <v>242</v>
      </c>
      <c r="AK25" t="s">
        <v>168</v>
      </c>
      <c r="AV25">
        <v>14704</v>
      </c>
    </row>
    <row r="26" spans="1:48" x14ac:dyDescent="0.2">
      <c r="A26" t="s">
        <v>109</v>
      </c>
      <c r="B26">
        <v>143</v>
      </c>
      <c r="C26">
        <v>132</v>
      </c>
      <c r="E26" t="s">
        <v>74</v>
      </c>
      <c r="F26">
        <v>6298</v>
      </c>
      <c r="G26">
        <v>3121</v>
      </c>
      <c r="H26">
        <v>5135</v>
      </c>
      <c r="I26">
        <v>2829</v>
      </c>
      <c r="J26">
        <v>953</v>
      </c>
      <c r="K26">
        <v>670</v>
      </c>
      <c r="L26">
        <v>364</v>
      </c>
      <c r="M26">
        <v>265</v>
      </c>
      <c r="N26">
        <v>0</v>
      </c>
      <c r="O26">
        <v>9</v>
      </c>
      <c r="P26">
        <v>227.2</v>
      </c>
      <c r="Q26">
        <v>3465</v>
      </c>
      <c r="T26" t="s">
        <v>63</v>
      </c>
      <c r="U26">
        <v>6221</v>
      </c>
      <c r="V26">
        <v>176.3</v>
      </c>
      <c r="W26">
        <v>0.53673000000000004</v>
      </c>
      <c r="X26">
        <v>908</v>
      </c>
      <c r="Y26">
        <v>8382</v>
      </c>
      <c r="Z26">
        <v>226.4</v>
      </c>
      <c r="AA26">
        <v>266.3</v>
      </c>
      <c r="AB26">
        <v>5885</v>
      </c>
      <c r="AC26">
        <v>149.30000000000001</v>
      </c>
      <c r="AD26">
        <v>0.42514999999999997</v>
      </c>
      <c r="AE26">
        <v>879</v>
      </c>
      <c r="AF26">
        <v>7889</v>
      </c>
      <c r="AG26">
        <v>213.5</v>
      </c>
      <c r="AH26">
        <v>268.2</v>
      </c>
      <c r="AK26" t="s">
        <v>169</v>
      </c>
      <c r="AV26">
        <v>26609</v>
      </c>
    </row>
    <row r="27" spans="1:48" x14ac:dyDescent="0.2">
      <c r="A27" t="s">
        <v>141</v>
      </c>
      <c r="B27">
        <v>296</v>
      </c>
      <c r="C27">
        <v>17</v>
      </c>
      <c r="E27" t="s">
        <v>46</v>
      </c>
      <c r="F27">
        <v>7770</v>
      </c>
      <c r="G27">
        <v>4201</v>
      </c>
      <c r="H27">
        <v>7336</v>
      </c>
      <c r="I27">
        <v>5968</v>
      </c>
      <c r="J27">
        <v>1015</v>
      </c>
      <c r="K27">
        <v>936</v>
      </c>
      <c r="L27">
        <v>8800</v>
      </c>
      <c r="M27">
        <v>6950</v>
      </c>
      <c r="N27">
        <v>31</v>
      </c>
      <c r="O27">
        <v>7</v>
      </c>
      <c r="P27">
        <v>559</v>
      </c>
      <c r="Q27">
        <v>6184</v>
      </c>
      <c r="T27" t="s">
        <v>64</v>
      </c>
      <c r="U27">
        <v>2227</v>
      </c>
      <c r="V27">
        <v>80</v>
      </c>
      <c r="W27">
        <v>0.16703999999999999</v>
      </c>
      <c r="X27">
        <v>256</v>
      </c>
      <c r="Y27">
        <v>3801</v>
      </c>
      <c r="Z27">
        <v>126.3</v>
      </c>
      <c r="AA27">
        <v>119.7</v>
      </c>
      <c r="AB27">
        <v>7140</v>
      </c>
      <c r="AC27">
        <v>131.6</v>
      </c>
      <c r="AD27">
        <v>0.42479</v>
      </c>
      <c r="AE27">
        <v>1053</v>
      </c>
      <c r="AF27">
        <v>10112</v>
      </c>
      <c r="AG27">
        <v>184.1</v>
      </c>
      <c r="AH27">
        <v>177.7</v>
      </c>
      <c r="AK27" t="s">
        <v>170</v>
      </c>
      <c r="AV27">
        <v>9135</v>
      </c>
    </row>
    <row r="28" spans="1:48" x14ac:dyDescent="0.2">
      <c r="A28" t="s">
        <v>133</v>
      </c>
      <c r="B28">
        <v>17285</v>
      </c>
      <c r="C28">
        <v>1500</v>
      </c>
      <c r="E28" t="s">
        <v>51</v>
      </c>
      <c r="F28">
        <v>8989</v>
      </c>
      <c r="G28">
        <v>2735</v>
      </c>
      <c r="H28">
        <v>11385</v>
      </c>
      <c r="I28">
        <v>9303</v>
      </c>
      <c r="J28">
        <v>1278</v>
      </c>
      <c r="K28">
        <v>1169</v>
      </c>
      <c r="L28">
        <v>14140</v>
      </c>
      <c r="M28">
        <v>8934</v>
      </c>
      <c r="N28">
        <v>16</v>
      </c>
      <c r="O28">
        <v>321</v>
      </c>
      <c r="P28">
        <v>522.1</v>
      </c>
      <c r="Q28">
        <v>9320</v>
      </c>
      <c r="T28" t="s">
        <v>65</v>
      </c>
      <c r="U28">
        <v>4123</v>
      </c>
      <c r="V28">
        <v>115.8</v>
      </c>
      <c r="W28">
        <v>0.35435</v>
      </c>
      <c r="X28">
        <v>736</v>
      </c>
      <c r="Y28">
        <v>7411</v>
      </c>
      <c r="Z28">
        <v>160.9</v>
      </c>
      <c r="AA28">
        <v>180.9</v>
      </c>
      <c r="AB28">
        <v>5578</v>
      </c>
      <c r="AC28">
        <v>121</v>
      </c>
      <c r="AD28">
        <v>0.37325000000000003</v>
      </c>
      <c r="AE28">
        <v>912</v>
      </c>
      <c r="AF28">
        <v>8230</v>
      </c>
      <c r="AG28">
        <v>169</v>
      </c>
      <c r="AH28">
        <v>185.3</v>
      </c>
      <c r="AK28" t="s">
        <v>171</v>
      </c>
      <c r="AV28">
        <v>10557</v>
      </c>
    </row>
    <row r="29" spans="1:48" x14ac:dyDescent="0.2">
      <c r="A29" t="s">
        <v>30</v>
      </c>
      <c r="B29">
        <v>262652</v>
      </c>
      <c r="C29">
        <v>104260</v>
      </c>
      <c r="E29" t="s">
        <v>68</v>
      </c>
      <c r="F29">
        <v>1313</v>
      </c>
      <c r="G29">
        <v>480</v>
      </c>
      <c r="H29">
        <v>2577</v>
      </c>
      <c r="I29">
        <v>1864</v>
      </c>
      <c r="J29">
        <v>855</v>
      </c>
      <c r="K29">
        <v>845</v>
      </c>
      <c r="L29">
        <v>640</v>
      </c>
      <c r="M29">
        <v>193</v>
      </c>
      <c r="N29">
        <v>0</v>
      </c>
      <c r="O29">
        <v>0</v>
      </c>
      <c r="P29">
        <v>376.3</v>
      </c>
      <c r="Q29">
        <v>2158</v>
      </c>
      <c r="T29" t="s">
        <v>66</v>
      </c>
      <c r="U29">
        <v>14232</v>
      </c>
      <c r="V29">
        <v>151.4</v>
      </c>
      <c r="W29">
        <v>0.49944</v>
      </c>
      <c r="X29">
        <v>1993</v>
      </c>
      <c r="Y29">
        <v>17236</v>
      </c>
      <c r="Z29">
        <v>215.2</v>
      </c>
      <c r="AA29">
        <v>241.9</v>
      </c>
      <c r="AB29">
        <v>7913</v>
      </c>
      <c r="AC29">
        <v>139.69999999999999</v>
      </c>
      <c r="AD29">
        <v>0.44281999999999999</v>
      </c>
      <c r="AE29">
        <v>1144</v>
      </c>
      <c r="AF29">
        <v>12228</v>
      </c>
      <c r="AG29">
        <v>217.6</v>
      </c>
      <c r="AH29">
        <v>256.10000000000002</v>
      </c>
      <c r="AK29" t="s">
        <v>107</v>
      </c>
      <c r="AV29">
        <v>5763</v>
      </c>
    </row>
    <row r="30" spans="1:48" x14ac:dyDescent="0.2">
      <c r="A30" t="s">
        <v>105</v>
      </c>
      <c r="B30">
        <v>11</v>
      </c>
      <c r="C30">
        <v>2</v>
      </c>
      <c r="E30" t="s">
        <v>79</v>
      </c>
      <c r="F30">
        <v>5015</v>
      </c>
      <c r="G30">
        <v>2333</v>
      </c>
      <c r="H30">
        <v>5584</v>
      </c>
      <c r="I30">
        <v>4009</v>
      </c>
      <c r="J30">
        <v>446</v>
      </c>
      <c r="K30">
        <v>347</v>
      </c>
      <c r="L30">
        <v>2680</v>
      </c>
      <c r="M30">
        <v>1407</v>
      </c>
      <c r="N30">
        <v>0</v>
      </c>
      <c r="O30">
        <v>4</v>
      </c>
      <c r="P30">
        <v>414.2</v>
      </c>
      <c r="Q30">
        <v>4046</v>
      </c>
      <c r="T30" t="s">
        <v>67</v>
      </c>
      <c r="U30">
        <v>8282</v>
      </c>
      <c r="V30">
        <v>185.3</v>
      </c>
      <c r="W30">
        <v>0.54335</v>
      </c>
      <c r="X30">
        <v>888</v>
      </c>
      <c r="Y30">
        <v>11236</v>
      </c>
      <c r="Z30">
        <v>239.4</v>
      </c>
      <c r="AA30">
        <v>230.8</v>
      </c>
      <c r="AB30">
        <v>8987</v>
      </c>
      <c r="AC30">
        <v>186.1</v>
      </c>
      <c r="AD30">
        <v>0.56059000000000003</v>
      </c>
      <c r="AE30">
        <v>937</v>
      </c>
      <c r="AF30">
        <v>11592</v>
      </c>
      <c r="AG30">
        <v>236.8</v>
      </c>
      <c r="AH30">
        <v>231.8</v>
      </c>
      <c r="AK30" t="s">
        <v>173</v>
      </c>
      <c r="AV30">
        <v>10446</v>
      </c>
    </row>
    <row r="31" spans="1:48" x14ac:dyDescent="0.2">
      <c r="A31" t="s">
        <v>118</v>
      </c>
      <c r="B31">
        <v>606</v>
      </c>
      <c r="C31">
        <v>554</v>
      </c>
      <c r="E31" t="s">
        <v>81</v>
      </c>
      <c r="F31">
        <v>1818</v>
      </c>
      <c r="G31">
        <v>518</v>
      </c>
      <c r="H31">
        <v>1747</v>
      </c>
      <c r="I31">
        <v>586</v>
      </c>
      <c r="J31">
        <v>393</v>
      </c>
      <c r="K31">
        <v>374</v>
      </c>
      <c r="L31">
        <v>666</v>
      </c>
      <c r="M31">
        <v>176</v>
      </c>
      <c r="N31">
        <v>0</v>
      </c>
      <c r="O31">
        <v>3</v>
      </c>
      <c r="P31">
        <v>132.9</v>
      </c>
      <c r="Q31">
        <v>771</v>
      </c>
      <c r="T31" t="s">
        <v>68</v>
      </c>
      <c r="U31">
        <v>1436</v>
      </c>
      <c r="V31">
        <v>114.3</v>
      </c>
      <c r="W31">
        <v>0.33495999999999998</v>
      </c>
      <c r="X31">
        <v>222</v>
      </c>
      <c r="Y31">
        <v>2123</v>
      </c>
      <c r="Z31">
        <v>176.4</v>
      </c>
      <c r="AA31">
        <v>189</v>
      </c>
      <c r="AB31">
        <v>1805</v>
      </c>
      <c r="AC31">
        <v>136.1</v>
      </c>
      <c r="AD31">
        <v>0.42104999999999998</v>
      </c>
      <c r="AE31">
        <v>286</v>
      </c>
      <c r="AF31">
        <v>2532</v>
      </c>
      <c r="AG31">
        <v>197.9</v>
      </c>
      <c r="AH31">
        <v>202.7</v>
      </c>
      <c r="AK31" t="s">
        <v>174</v>
      </c>
      <c r="AV31">
        <v>4117</v>
      </c>
    </row>
    <row r="32" spans="1:48" x14ac:dyDescent="0.2">
      <c r="A32" t="s">
        <v>111</v>
      </c>
      <c r="B32">
        <v>459</v>
      </c>
      <c r="C32">
        <v>431</v>
      </c>
      <c r="E32" t="s">
        <v>96</v>
      </c>
      <c r="F32">
        <v>1096</v>
      </c>
      <c r="G32">
        <v>534</v>
      </c>
      <c r="H32">
        <v>643</v>
      </c>
      <c r="I32">
        <v>465</v>
      </c>
      <c r="J32">
        <v>9</v>
      </c>
      <c r="K32">
        <v>8</v>
      </c>
      <c r="L32">
        <v>239</v>
      </c>
      <c r="M32">
        <v>179</v>
      </c>
      <c r="N32">
        <v>0</v>
      </c>
      <c r="O32">
        <v>0</v>
      </c>
      <c r="P32">
        <v>452.8</v>
      </c>
      <c r="Q32">
        <v>575</v>
      </c>
      <c r="T32" t="s">
        <v>69</v>
      </c>
      <c r="U32">
        <v>1235</v>
      </c>
      <c r="V32">
        <v>140.5</v>
      </c>
      <c r="W32">
        <v>0.43481999999999998</v>
      </c>
      <c r="X32">
        <v>186</v>
      </c>
      <c r="Y32">
        <v>2150</v>
      </c>
      <c r="Z32">
        <v>173</v>
      </c>
      <c r="AA32">
        <v>170.4</v>
      </c>
      <c r="AB32">
        <v>2782</v>
      </c>
      <c r="AC32">
        <v>179.3</v>
      </c>
      <c r="AD32">
        <v>0.64198</v>
      </c>
      <c r="AE32">
        <v>385</v>
      </c>
      <c r="AF32">
        <v>4022</v>
      </c>
      <c r="AG32">
        <v>214.9</v>
      </c>
      <c r="AH32">
        <v>219.1</v>
      </c>
      <c r="AK32" t="s">
        <v>177</v>
      </c>
      <c r="AV32">
        <v>4316</v>
      </c>
    </row>
    <row r="33" spans="1:48" x14ac:dyDescent="0.2">
      <c r="A33" t="s">
        <v>134</v>
      </c>
      <c r="B33">
        <v>4358</v>
      </c>
      <c r="C33">
        <v>1606</v>
      </c>
      <c r="E33" t="s">
        <v>62</v>
      </c>
      <c r="F33">
        <v>7471</v>
      </c>
      <c r="G33">
        <v>3315</v>
      </c>
      <c r="H33">
        <v>12789</v>
      </c>
      <c r="I33">
        <v>7364</v>
      </c>
      <c r="J33">
        <v>1342</v>
      </c>
      <c r="K33">
        <v>1172</v>
      </c>
      <c r="L33">
        <v>2064</v>
      </c>
      <c r="M33">
        <v>1347</v>
      </c>
      <c r="N33">
        <v>3</v>
      </c>
      <c r="O33">
        <v>205</v>
      </c>
      <c r="P33">
        <v>460.7</v>
      </c>
      <c r="Q33">
        <v>8091</v>
      </c>
      <c r="T33" t="s">
        <v>242</v>
      </c>
      <c r="U33">
        <v>4794</v>
      </c>
      <c r="V33">
        <v>106.7</v>
      </c>
      <c r="W33">
        <v>0.30580000000000002</v>
      </c>
      <c r="X33">
        <v>738</v>
      </c>
      <c r="Y33">
        <v>8021</v>
      </c>
      <c r="Z33">
        <v>145.4</v>
      </c>
      <c r="AA33">
        <v>165.6</v>
      </c>
      <c r="AB33">
        <v>6797</v>
      </c>
      <c r="AC33">
        <v>129.6</v>
      </c>
      <c r="AD33">
        <v>0.41724</v>
      </c>
      <c r="AE33">
        <v>984</v>
      </c>
      <c r="AF33">
        <v>9756</v>
      </c>
      <c r="AG33">
        <v>162.30000000000001</v>
      </c>
      <c r="AH33">
        <v>173.6</v>
      </c>
      <c r="AK33" t="s">
        <v>198</v>
      </c>
      <c r="AV33">
        <v>5560</v>
      </c>
    </row>
    <row r="34" spans="1:48" x14ac:dyDescent="0.2">
      <c r="A34" t="s">
        <v>115</v>
      </c>
      <c r="B34">
        <v>14736</v>
      </c>
      <c r="C34">
        <v>3197</v>
      </c>
      <c r="E34" t="s">
        <v>77</v>
      </c>
      <c r="F34">
        <v>12709</v>
      </c>
      <c r="G34">
        <v>5465</v>
      </c>
      <c r="H34">
        <v>8832</v>
      </c>
      <c r="I34">
        <v>5892</v>
      </c>
      <c r="J34">
        <v>797</v>
      </c>
      <c r="K34">
        <v>379</v>
      </c>
      <c r="L34">
        <v>11369</v>
      </c>
      <c r="M34">
        <v>7175</v>
      </c>
      <c r="N34">
        <v>4920</v>
      </c>
      <c r="O34">
        <v>0</v>
      </c>
      <c r="P34">
        <v>441.4</v>
      </c>
      <c r="Q34">
        <v>6294</v>
      </c>
      <c r="T34" t="s">
        <v>243</v>
      </c>
      <c r="U34">
        <v>4902</v>
      </c>
      <c r="V34">
        <v>47.1</v>
      </c>
      <c r="W34">
        <v>6.2219999999999998E-2</v>
      </c>
      <c r="X34">
        <v>2074</v>
      </c>
      <c r="Y34">
        <v>23282</v>
      </c>
      <c r="Z34">
        <v>52.5</v>
      </c>
      <c r="AA34">
        <v>56.5</v>
      </c>
      <c r="AB34">
        <v>4923</v>
      </c>
      <c r="AC34">
        <v>47.5</v>
      </c>
      <c r="AD34">
        <v>6.4390000000000003E-2</v>
      </c>
      <c r="AE34">
        <v>2085</v>
      </c>
      <c r="AF34">
        <v>23325</v>
      </c>
      <c r="AG34">
        <v>52.8</v>
      </c>
      <c r="AH34">
        <v>56.8</v>
      </c>
      <c r="AK34" t="s">
        <v>416</v>
      </c>
      <c r="AV34">
        <v>61</v>
      </c>
    </row>
    <row r="35" spans="1:48" x14ac:dyDescent="0.2">
      <c r="A35" t="s">
        <v>143</v>
      </c>
      <c r="B35">
        <v>3478</v>
      </c>
      <c r="C35">
        <v>319</v>
      </c>
      <c r="E35" t="s">
        <v>155</v>
      </c>
      <c r="F35">
        <v>499</v>
      </c>
      <c r="G35">
        <v>203</v>
      </c>
      <c r="H35">
        <v>839</v>
      </c>
      <c r="I35">
        <v>559</v>
      </c>
      <c r="J35">
        <v>77</v>
      </c>
      <c r="K35">
        <v>72</v>
      </c>
      <c r="L35">
        <v>175</v>
      </c>
      <c r="M35">
        <v>90</v>
      </c>
      <c r="N35">
        <v>0</v>
      </c>
      <c r="O35">
        <v>0</v>
      </c>
      <c r="P35">
        <v>355.7</v>
      </c>
      <c r="Q35">
        <v>562</v>
      </c>
      <c r="T35" t="s">
        <v>71</v>
      </c>
      <c r="U35">
        <v>9964</v>
      </c>
      <c r="V35">
        <v>131</v>
      </c>
      <c r="W35">
        <v>0.42914000000000002</v>
      </c>
      <c r="X35">
        <v>1225</v>
      </c>
      <c r="Y35">
        <v>12572</v>
      </c>
      <c r="Z35">
        <v>192.8</v>
      </c>
      <c r="AA35">
        <v>213.7</v>
      </c>
      <c r="AB35">
        <v>8274</v>
      </c>
      <c r="AC35">
        <v>139.80000000000001</v>
      </c>
      <c r="AD35">
        <v>0.45021</v>
      </c>
      <c r="AE35">
        <v>1198</v>
      </c>
      <c r="AF35">
        <v>13219</v>
      </c>
      <c r="AG35">
        <v>198.1</v>
      </c>
      <c r="AH35">
        <v>212.3</v>
      </c>
      <c r="AK35" t="s">
        <v>415</v>
      </c>
      <c r="AV35">
        <v>105803</v>
      </c>
    </row>
    <row r="36" spans="1:48" x14ac:dyDescent="0.2">
      <c r="A36" t="s">
        <v>132</v>
      </c>
      <c r="B36">
        <v>11940</v>
      </c>
      <c r="C36">
        <v>1664</v>
      </c>
      <c r="E36" t="s">
        <v>149</v>
      </c>
      <c r="F36">
        <v>77477</v>
      </c>
      <c r="G36">
        <v>32685</v>
      </c>
      <c r="H36">
        <v>76554</v>
      </c>
      <c r="I36">
        <v>50905</v>
      </c>
      <c r="J36">
        <v>11101</v>
      </c>
      <c r="K36">
        <v>9404</v>
      </c>
      <c r="L36">
        <v>57783</v>
      </c>
      <c r="M36">
        <v>33034</v>
      </c>
      <c r="N36">
        <v>4976</v>
      </c>
      <c r="O36">
        <v>764</v>
      </c>
      <c r="P36">
        <v>420.1</v>
      </c>
      <c r="Q36">
        <v>54257</v>
      </c>
      <c r="T36" t="s">
        <v>36</v>
      </c>
      <c r="U36">
        <v>8239</v>
      </c>
      <c r="V36">
        <v>111.2</v>
      </c>
      <c r="W36">
        <v>0.34712999999999999</v>
      </c>
      <c r="X36">
        <v>1377</v>
      </c>
      <c r="Y36">
        <v>11865</v>
      </c>
      <c r="Z36">
        <v>168.4</v>
      </c>
      <c r="AA36">
        <v>170.7</v>
      </c>
      <c r="AB36">
        <v>11984</v>
      </c>
      <c r="AC36">
        <v>120.2</v>
      </c>
      <c r="AD36">
        <v>0.40828999999999999</v>
      </c>
      <c r="AE36">
        <v>1978</v>
      </c>
      <c r="AF36">
        <v>17059</v>
      </c>
      <c r="AG36">
        <v>179.3</v>
      </c>
      <c r="AH36">
        <v>187.8</v>
      </c>
      <c r="AK36" t="s">
        <v>172</v>
      </c>
      <c r="AV36">
        <v>5155</v>
      </c>
    </row>
    <row r="37" spans="1:48" x14ac:dyDescent="0.2">
      <c r="A37" t="s">
        <v>131</v>
      </c>
      <c r="B37">
        <v>5107</v>
      </c>
      <c r="C37">
        <v>258</v>
      </c>
      <c r="E37" t="s">
        <v>82</v>
      </c>
      <c r="F37">
        <v>5285</v>
      </c>
      <c r="G37">
        <v>2702</v>
      </c>
      <c r="H37">
        <v>4013</v>
      </c>
      <c r="I37">
        <v>3158</v>
      </c>
      <c r="J37">
        <v>385</v>
      </c>
      <c r="K37">
        <v>356</v>
      </c>
      <c r="L37">
        <v>3748</v>
      </c>
      <c r="M37">
        <v>1960</v>
      </c>
      <c r="N37">
        <v>0</v>
      </c>
      <c r="O37">
        <v>95</v>
      </c>
      <c r="P37">
        <v>465.9</v>
      </c>
      <c r="Q37">
        <v>3675</v>
      </c>
      <c r="T37" t="s">
        <v>72</v>
      </c>
      <c r="U37">
        <v>10446</v>
      </c>
      <c r="V37">
        <v>108.3</v>
      </c>
      <c r="W37">
        <v>0.30815999999999999</v>
      </c>
      <c r="X37">
        <v>1816</v>
      </c>
      <c r="Y37">
        <v>16867</v>
      </c>
      <c r="Z37">
        <v>138.69999999999999</v>
      </c>
      <c r="AA37">
        <v>162.30000000000001</v>
      </c>
      <c r="AB37">
        <v>12903</v>
      </c>
      <c r="AC37">
        <v>136.19999999999999</v>
      </c>
      <c r="AD37">
        <v>0.39463999999999999</v>
      </c>
      <c r="AE37">
        <v>2305</v>
      </c>
      <c r="AF37">
        <v>19184</v>
      </c>
      <c r="AG37">
        <v>155.6</v>
      </c>
      <c r="AH37">
        <v>171.1</v>
      </c>
      <c r="AK37" t="s">
        <v>178</v>
      </c>
      <c r="AV37">
        <v>7038</v>
      </c>
    </row>
    <row r="38" spans="1:48" x14ac:dyDescent="0.2">
      <c r="A38" t="s">
        <v>147</v>
      </c>
      <c r="B38">
        <v>48561</v>
      </c>
      <c r="C38">
        <v>44030</v>
      </c>
      <c r="E38" t="s">
        <v>47</v>
      </c>
      <c r="F38">
        <v>1506</v>
      </c>
      <c r="G38">
        <v>362</v>
      </c>
      <c r="H38">
        <v>764</v>
      </c>
      <c r="I38">
        <v>118</v>
      </c>
      <c r="J38">
        <v>219</v>
      </c>
      <c r="K38">
        <v>124</v>
      </c>
      <c r="L38">
        <v>244</v>
      </c>
      <c r="M38">
        <v>127</v>
      </c>
      <c r="N38">
        <v>0</v>
      </c>
      <c r="O38">
        <v>12</v>
      </c>
      <c r="P38">
        <v>98.8</v>
      </c>
      <c r="Q38">
        <v>492</v>
      </c>
      <c r="T38" t="s">
        <v>73</v>
      </c>
      <c r="U38">
        <v>7291</v>
      </c>
      <c r="V38">
        <v>128.69999999999999</v>
      </c>
      <c r="W38">
        <v>0.433</v>
      </c>
      <c r="X38">
        <v>1092</v>
      </c>
      <c r="Y38">
        <v>8844</v>
      </c>
      <c r="Z38">
        <v>178.5</v>
      </c>
      <c r="AA38">
        <v>196.7</v>
      </c>
      <c r="AB38">
        <v>5028</v>
      </c>
      <c r="AC38">
        <v>108.2</v>
      </c>
      <c r="AD38">
        <v>0.35879</v>
      </c>
      <c r="AE38">
        <v>760</v>
      </c>
      <c r="AF38">
        <v>7313</v>
      </c>
      <c r="AG38">
        <v>174.3</v>
      </c>
      <c r="AH38">
        <v>197.8</v>
      </c>
      <c r="AK38" t="s">
        <v>180</v>
      </c>
      <c r="AV38">
        <v>2806</v>
      </c>
    </row>
    <row r="39" spans="1:48" x14ac:dyDescent="0.2">
      <c r="A39" t="s">
        <v>145</v>
      </c>
      <c r="B39">
        <v>8110</v>
      </c>
      <c r="C39">
        <v>4936</v>
      </c>
      <c r="E39" t="s">
        <v>53</v>
      </c>
      <c r="F39">
        <v>8953</v>
      </c>
      <c r="G39">
        <v>4390</v>
      </c>
      <c r="H39">
        <v>9896</v>
      </c>
      <c r="I39">
        <v>7072</v>
      </c>
      <c r="J39">
        <v>2056</v>
      </c>
      <c r="K39">
        <v>1772</v>
      </c>
      <c r="L39">
        <v>7670</v>
      </c>
      <c r="M39">
        <v>4755</v>
      </c>
      <c r="N39">
        <v>1</v>
      </c>
      <c r="O39">
        <v>48</v>
      </c>
      <c r="P39">
        <v>445.4</v>
      </c>
      <c r="Q39">
        <v>7549</v>
      </c>
      <c r="T39" t="s">
        <v>74</v>
      </c>
      <c r="U39">
        <v>6489</v>
      </c>
      <c r="V39">
        <v>146.4</v>
      </c>
      <c r="W39">
        <v>0.48436000000000001</v>
      </c>
      <c r="X39">
        <v>1027</v>
      </c>
      <c r="Y39">
        <v>8535</v>
      </c>
      <c r="Z39">
        <v>201.1</v>
      </c>
      <c r="AA39">
        <v>222.3</v>
      </c>
      <c r="AB39">
        <v>4968</v>
      </c>
      <c r="AC39">
        <v>119.7</v>
      </c>
      <c r="AD39">
        <v>0.38446000000000002</v>
      </c>
      <c r="AE39">
        <v>763</v>
      </c>
      <c r="AF39">
        <v>7446</v>
      </c>
      <c r="AG39">
        <v>172.7</v>
      </c>
      <c r="AH39">
        <v>217.2</v>
      </c>
      <c r="AK39" t="s">
        <v>181</v>
      </c>
      <c r="AV39">
        <v>5913</v>
      </c>
    </row>
    <row r="40" spans="1:48" x14ac:dyDescent="0.2">
      <c r="A40" t="s">
        <v>119</v>
      </c>
      <c r="B40">
        <v>198</v>
      </c>
      <c r="C40">
        <v>197</v>
      </c>
      <c r="E40" t="s">
        <v>69</v>
      </c>
      <c r="F40">
        <v>1322</v>
      </c>
      <c r="G40">
        <v>577</v>
      </c>
      <c r="H40">
        <v>894</v>
      </c>
      <c r="I40">
        <v>371</v>
      </c>
      <c r="J40">
        <v>147</v>
      </c>
      <c r="K40">
        <v>117</v>
      </c>
      <c r="L40">
        <v>1170</v>
      </c>
      <c r="M40">
        <v>591</v>
      </c>
      <c r="N40">
        <v>318</v>
      </c>
      <c r="O40">
        <v>125</v>
      </c>
      <c r="P40">
        <v>164.4</v>
      </c>
      <c r="Q40">
        <v>832</v>
      </c>
      <c r="T40" t="s">
        <v>75</v>
      </c>
      <c r="U40">
        <v>2895</v>
      </c>
      <c r="V40">
        <v>115.6</v>
      </c>
      <c r="W40">
        <v>0.37340000000000001</v>
      </c>
      <c r="X40">
        <v>409</v>
      </c>
      <c r="Y40">
        <v>3990</v>
      </c>
      <c r="Z40">
        <v>156.80000000000001</v>
      </c>
      <c r="AA40">
        <v>169.1</v>
      </c>
      <c r="AB40">
        <v>2865</v>
      </c>
      <c r="AC40">
        <v>118.6</v>
      </c>
      <c r="AD40">
        <v>0.39162000000000002</v>
      </c>
      <c r="AE40">
        <v>416</v>
      </c>
      <c r="AF40">
        <v>4285</v>
      </c>
      <c r="AG40">
        <v>154.19999999999999</v>
      </c>
      <c r="AH40">
        <v>170.1</v>
      </c>
      <c r="AK40" t="s">
        <v>182</v>
      </c>
      <c r="AV40">
        <v>1152</v>
      </c>
    </row>
    <row r="41" spans="1:48" x14ac:dyDescent="0.2">
      <c r="A41" t="s">
        <v>120</v>
      </c>
      <c r="B41">
        <v>16136</v>
      </c>
      <c r="C41">
        <v>12526</v>
      </c>
      <c r="E41" t="s">
        <v>76</v>
      </c>
      <c r="F41">
        <v>15046</v>
      </c>
      <c r="G41">
        <v>7430</v>
      </c>
      <c r="H41">
        <v>11376</v>
      </c>
      <c r="I41">
        <v>8805</v>
      </c>
      <c r="J41">
        <v>1947</v>
      </c>
      <c r="K41">
        <v>1748</v>
      </c>
      <c r="L41">
        <v>15760</v>
      </c>
      <c r="M41">
        <v>10397</v>
      </c>
      <c r="N41">
        <v>0</v>
      </c>
      <c r="O41">
        <v>42</v>
      </c>
      <c r="P41">
        <v>431.4</v>
      </c>
      <c r="Q41">
        <v>8259</v>
      </c>
      <c r="T41" t="s">
        <v>76</v>
      </c>
      <c r="U41">
        <v>15020</v>
      </c>
      <c r="V41">
        <v>159.80000000000001</v>
      </c>
      <c r="W41">
        <v>0.49420999999999998</v>
      </c>
      <c r="X41">
        <v>2067</v>
      </c>
      <c r="Y41">
        <v>19540</v>
      </c>
      <c r="Z41">
        <v>228.3</v>
      </c>
      <c r="AA41">
        <v>239.7</v>
      </c>
      <c r="AB41">
        <v>8376</v>
      </c>
      <c r="AC41">
        <v>156.30000000000001</v>
      </c>
      <c r="AD41">
        <v>0.43219000000000002</v>
      </c>
      <c r="AE41">
        <v>1038</v>
      </c>
      <c r="AF41">
        <v>12395</v>
      </c>
      <c r="AG41">
        <v>240.2</v>
      </c>
      <c r="AH41">
        <v>251.6</v>
      </c>
      <c r="AK41" t="s">
        <v>183</v>
      </c>
      <c r="AV41">
        <v>1481</v>
      </c>
    </row>
    <row r="42" spans="1:48" x14ac:dyDescent="0.2">
      <c r="A42" t="s">
        <v>136</v>
      </c>
      <c r="B42">
        <v>3725</v>
      </c>
      <c r="C42">
        <v>540</v>
      </c>
      <c r="E42" t="s">
        <v>78</v>
      </c>
      <c r="F42">
        <v>5891</v>
      </c>
      <c r="G42">
        <v>1884</v>
      </c>
      <c r="H42">
        <v>6196</v>
      </c>
      <c r="I42">
        <v>4074</v>
      </c>
      <c r="J42">
        <v>294</v>
      </c>
      <c r="K42">
        <v>217</v>
      </c>
      <c r="L42">
        <v>5888</v>
      </c>
      <c r="M42">
        <v>4830</v>
      </c>
      <c r="N42">
        <v>1</v>
      </c>
      <c r="O42">
        <v>64</v>
      </c>
      <c r="P42">
        <v>314.8</v>
      </c>
      <c r="Q42">
        <v>5286</v>
      </c>
      <c r="T42" t="s">
        <v>9</v>
      </c>
      <c r="U42">
        <v>1128</v>
      </c>
      <c r="V42">
        <v>118.8</v>
      </c>
      <c r="W42">
        <v>0.34839999999999999</v>
      </c>
      <c r="X42">
        <v>57</v>
      </c>
      <c r="Y42">
        <v>366</v>
      </c>
      <c r="Z42">
        <v>212.9</v>
      </c>
      <c r="AA42">
        <v>235.7</v>
      </c>
      <c r="AB42">
        <v>3538</v>
      </c>
      <c r="AC42">
        <v>121.5</v>
      </c>
      <c r="AD42">
        <v>0.31995000000000001</v>
      </c>
      <c r="AE42">
        <v>4</v>
      </c>
      <c r="AF42">
        <v>125</v>
      </c>
      <c r="AG42">
        <v>106.8</v>
      </c>
      <c r="AH42">
        <v>231.5</v>
      </c>
      <c r="AK42" t="s">
        <v>184</v>
      </c>
      <c r="AV42">
        <v>1610</v>
      </c>
    </row>
    <row r="43" spans="1:48" x14ac:dyDescent="0.2">
      <c r="A43" t="s">
        <v>29</v>
      </c>
      <c r="B43">
        <v>45438</v>
      </c>
      <c r="C43">
        <v>20716</v>
      </c>
      <c r="E43" t="s">
        <v>87</v>
      </c>
      <c r="F43">
        <v>11521</v>
      </c>
      <c r="G43">
        <v>5559</v>
      </c>
      <c r="H43">
        <v>19825</v>
      </c>
      <c r="I43">
        <v>14636</v>
      </c>
      <c r="J43">
        <v>4117</v>
      </c>
      <c r="K43">
        <v>3809</v>
      </c>
      <c r="L43">
        <v>12270</v>
      </c>
      <c r="M43">
        <v>7493</v>
      </c>
      <c r="N43">
        <v>6</v>
      </c>
      <c r="O43">
        <v>150</v>
      </c>
      <c r="P43">
        <v>414.2</v>
      </c>
      <c r="Q43">
        <v>13841</v>
      </c>
      <c r="T43" t="s">
        <v>434</v>
      </c>
      <c r="U43">
        <v>1522</v>
      </c>
      <c r="V43">
        <v>75.099999999999994</v>
      </c>
      <c r="W43">
        <v>0.16622999999999999</v>
      </c>
      <c r="X43">
        <v>111</v>
      </c>
      <c r="Y43">
        <v>1251</v>
      </c>
      <c r="Z43">
        <v>140.19999999999999</v>
      </c>
      <c r="AA43">
        <v>153.30000000000001</v>
      </c>
      <c r="AB43">
        <v>789</v>
      </c>
      <c r="AC43">
        <v>97</v>
      </c>
      <c r="AD43">
        <v>0.25856000000000001</v>
      </c>
      <c r="AE43">
        <v>86</v>
      </c>
      <c r="AF43">
        <v>1214</v>
      </c>
      <c r="AG43">
        <v>136.30000000000001</v>
      </c>
      <c r="AH43">
        <v>154</v>
      </c>
      <c r="AK43" t="s">
        <v>194</v>
      </c>
      <c r="AV43">
        <v>18513</v>
      </c>
    </row>
    <row r="44" spans="1:48" x14ac:dyDescent="0.2">
      <c r="A44" t="s">
        <v>117</v>
      </c>
      <c r="B44">
        <v>244586</v>
      </c>
      <c r="C44">
        <v>185697</v>
      </c>
      <c r="E44" t="s">
        <v>49</v>
      </c>
      <c r="F44">
        <v>877</v>
      </c>
      <c r="G44">
        <v>207</v>
      </c>
      <c r="H44">
        <v>987</v>
      </c>
      <c r="I44">
        <v>464</v>
      </c>
      <c r="J44">
        <v>89</v>
      </c>
      <c r="K44">
        <v>68</v>
      </c>
      <c r="L44">
        <v>724</v>
      </c>
      <c r="M44">
        <v>410</v>
      </c>
      <c r="N44">
        <v>25</v>
      </c>
      <c r="O44">
        <v>8</v>
      </c>
      <c r="P44">
        <v>288.8</v>
      </c>
      <c r="Q44">
        <v>624</v>
      </c>
      <c r="T44" t="s">
        <v>433</v>
      </c>
      <c r="U44">
        <v>553</v>
      </c>
      <c r="V44">
        <v>177.1</v>
      </c>
      <c r="W44">
        <v>0.54610999999999998</v>
      </c>
      <c r="X44">
        <v>280</v>
      </c>
      <c r="Y44">
        <v>3296</v>
      </c>
      <c r="Z44">
        <v>83.2</v>
      </c>
      <c r="AA44">
        <v>65.8</v>
      </c>
      <c r="AB44">
        <v>498</v>
      </c>
      <c r="AC44">
        <v>180.3</v>
      </c>
      <c r="AD44">
        <v>0.56023999999999996</v>
      </c>
      <c r="AE44">
        <v>255</v>
      </c>
      <c r="AF44">
        <v>3165</v>
      </c>
      <c r="AG44">
        <v>75.5</v>
      </c>
      <c r="AH44">
        <v>59.8</v>
      </c>
      <c r="AK44" t="s">
        <v>195</v>
      </c>
      <c r="AV44">
        <v>4854</v>
      </c>
    </row>
    <row r="45" spans="1:48" x14ac:dyDescent="0.2">
      <c r="A45" t="s">
        <v>144</v>
      </c>
      <c r="B45">
        <v>15948</v>
      </c>
      <c r="C45">
        <v>1703</v>
      </c>
      <c r="E45" t="s">
        <v>59</v>
      </c>
      <c r="F45">
        <v>3124</v>
      </c>
      <c r="G45">
        <v>1366</v>
      </c>
      <c r="H45">
        <v>2236</v>
      </c>
      <c r="I45">
        <v>1244</v>
      </c>
      <c r="J45">
        <v>434</v>
      </c>
      <c r="K45">
        <v>393</v>
      </c>
      <c r="L45">
        <v>1235</v>
      </c>
      <c r="M45">
        <v>580</v>
      </c>
      <c r="N45">
        <v>0</v>
      </c>
      <c r="O45">
        <v>4</v>
      </c>
      <c r="P45">
        <v>221.3</v>
      </c>
      <c r="Q45">
        <v>1654</v>
      </c>
      <c r="T45" s="17" t="s">
        <v>432</v>
      </c>
      <c r="U45">
        <v>2057</v>
      </c>
      <c r="V45">
        <v>62.5</v>
      </c>
      <c r="W45">
        <v>0.11473</v>
      </c>
      <c r="X45">
        <v>233</v>
      </c>
      <c r="Y45">
        <v>1915</v>
      </c>
      <c r="Z45">
        <v>120.2</v>
      </c>
      <c r="AA45">
        <v>132</v>
      </c>
      <c r="AB45">
        <v>646</v>
      </c>
      <c r="AC45">
        <v>74.5</v>
      </c>
      <c r="AD45">
        <v>0.18731</v>
      </c>
      <c r="AE45">
        <v>22</v>
      </c>
      <c r="AF45">
        <v>455</v>
      </c>
      <c r="AG45">
        <v>227.5</v>
      </c>
      <c r="AH45">
        <v>206</v>
      </c>
      <c r="AK45" t="s">
        <v>196</v>
      </c>
      <c r="AV45">
        <v>3605</v>
      </c>
    </row>
    <row r="46" spans="1:48" x14ac:dyDescent="0.2">
      <c r="A46" t="s">
        <v>139</v>
      </c>
      <c r="B46">
        <v>3273</v>
      </c>
      <c r="C46">
        <v>3262</v>
      </c>
      <c r="E46" t="s">
        <v>80</v>
      </c>
      <c r="F46">
        <v>6515</v>
      </c>
      <c r="G46">
        <v>2596</v>
      </c>
      <c r="H46">
        <v>10328</v>
      </c>
      <c r="I46">
        <v>7539</v>
      </c>
      <c r="J46">
        <v>3637</v>
      </c>
      <c r="K46">
        <v>3231</v>
      </c>
      <c r="L46">
        <v>1602</v>
      </c>
      <c r="M46">
        <v>826</v>
      </c>
      <c r="N46">
        <v>0</v>
      </c>
      <c r="O46">
        <v>63</v>
      </c>
      <c r="P46">
        <v>427.3</v>
      </c>
      <c r="Q46">
        <v>8437</v>
      </c>
      <c r="T46" t="s">
        <v>244</v>
      </c>
      <c r="U46">
        <v>9691</v>
      </c>
      <c r="V46">
        <v>158.30000000000001</v>
      </c>
      <c r="W46">
        <v>0.52368000000000003</v>
      </c>
      <c r="X46">
        <v>1490</v>
      </c>
      <c r="Y46">
        <v>16818</v>
      </c>
      <c r="Z46">
        <v>217.7</v>
      </c>
      <c r="AA46">
        <v>247.4</v>
      </c>
      <c r="AB46">
        <v>10414</v>
      </c>
      <c r="AC46">
        <v>157.4</v>
      </c>
      <c r="AD46">
        <v>0.50461</v>
      </c>
      <c r="AE46">
        <v>1591</v>
      </c>
      <c r="AF46">
        <v>16896</v>
      </c>
      <c r="AG46">
        <v>212.9</v>
      </c>
      <c r="AH46">
        <v>246.7</v>
      </c>
      <c r="AK46" t="s">
        <v>417</v>
      </c>
      <c r="AV46">
        <v>29</v>
      </c>
    </row>
    <row r="47" spans="1:48" x14ac:dyDescent="0.2">
      <c r="A47" t="s">
        <v>122</v>
      </c>
      <c r="B47">
        <v>1719</v>
      </c>
      <c r="C47">
        <v>493</v>
      </c>
      <c r="E47" t="s">
        <v>45</v>
      </c>
      <c r="F47">
        <v>991</v>
      </c>
      <c r="G47">
        <v>202</v>
      </c>
      <c r="H47">
        <v>3022</v>
      </c>
      <c r="I47">
        <v>2316</v>
      </c>
      <c r="J47">
        <v>1829</v>
      </c>
      <c r="K47">
        <v>1656</v>
      </c>
      <c r="L47">
        <v>212</v>
      </c>
      <c r="M47">
        <v>133</v>
      </c>
      <c r="N47">
        <v>0</v>
      </c>
      <c r="O47">
        <v>3</v>
      </c>
      <c r="P47">
        <v>537.6</v>
      </c>
      <c r="Q47">
        <v>2450</v>
      </c>
      <c r="T47" t="s">
        <v>245</v>
      </c>
      <c r="U47">
        <v>7479</v>
      </c>
      <c r="V47">
        <v>60.8</v>
      </c>
      <c r="W47">
        <v>0.10001</v>
      </c>
      <c r="X47">
        <v>1800</v>
      </c>
      <c r="Y47">
        <v>25676</v>
      </c>
      <c r="Z47">
        <v>71.5</v>
      </c>
      <c r="AA47">
        <v>73.2</v>
      </c>
      <c r="AB47">
        <v>7503</v>
      </c>
      <c r="AC47">
        <v>61.1</v>
      </c>
      <c r="AD47">
        <v>0.10102999999999999</v>
      </c>
      <c r="AE47">
        <v>1805</v>
      </c>
      <c r="AF47">
        <v>25710</v>
      </c>
      <c r="AG47">
        <v>72</v>
      </c>
      <c r="AH47">
        <v>73.400000000000006</v>
      </c>
      <c r="AK47" t="s">
        <v>200</v>
      </c>
      <c r="AV47">
        <v>17879</v>
      </c>
    </row>
    <row r="48" spans="1:48" x14ac:dyDescent="0.2">
      <c r="A48" t="s">
        <v>125</v>
      </c>
      <c r="B48">
        <v>28937</v>
      </c>
      <c r="C48">
        <v>16382</v>
      </c>
      <c r="E48" t="s">
        <v>85</v>
      </c>
      <c r="F48">
        <v>13338</v>
      </c>
      <c r="G48">
        <v>2997</v>
      </c>
      <c r="H48">
        <v>12543</v>
      </c>
      <c r="I48">
        <v>6933</v>
      </c>
      <c r="J48">
        <v>1629</v>
      </c>
      <c r="K48">
        <v>1141</v>
      </c>
      <c r="L48">
        <v>1924</v>
      </c>
      <c r="M48">
        <v>1372</v>
      </c>
      <c r="N48">
        <v>0</v>
      </c>
      <c r="O48">
        <v>68</v>
      </c>
      <c r="P48">
        <v>318.3</v>
      </c>
      <c r="Q48">
        <v>8624</v>
      </c>
      <c r="T48" t="s">
        <v>78</v>
      </c>
      <c r="U48">
        <v>6063</v>
      </c>
      <c r="V48">
        <v>113.8</v>
      </c>
      <c r="W48">
        <v>0.32113000000000003</v>
      </c>
      <c r="X48">
        <v>968</v>
      </c>
      <c r="Y48">
        <v>11607</v>
      </c>
      <c r="Z48">
        <v>175.3</v>
      </c>
      <c r="AA48">
        <v>179.9</v>
      </c>
      <c r="AB48">
        <v>10305</v>
      </c>
      <c r="AC48">
        <v>139.30000000000001</v>
      </c>
      <c r="AD48">
        <v>0.40854000000000001</v>
      </c>
      <c r="AE48">
        <v>1579</v>
      </c>
      <c r="AF48">
        <v>15207</v>
      </c>
      <c r="AG48">
        <v>203.1</v>
      </c>
      <c r="AH48">
        <v>193</v>
      </c>
      <c r="AK48" t="s">
        <v>207</v>
      </c>
      <c r="AV48">
        <v>428</v>
      </c>
    </row>
    <row r="49" spans="1:48" x14ac:dyDescent="0.2">
      <c r="A49" t="s">
        <v>124</v>
      </c>
      <c r="B49">
        <v>5714</v>
      </c>
      <c r="C49">
        <v>4485</v>
      </c>
      <c r="E49" t="s">
        <v>44</v>
      </c>
      <c r="F49">
        <v>3561</v>
      </c>
      <c r="G49">
        <v>1438</v>
      </c>
      <c r="H49">
        <v>2288</v>
      </c>
      <c r="I49">
        <v>1127</v>
      </c>
      <c r="J49">
        <v>145</v>
      </c>
      <c r="K49">
        <v>87</v>
      </c>
      <c r="L49">
        <v>400</v>
      </c>
      <c r="M49">
        <v>287</v>
      </c>
      <c r="N49">
        <v>0</v>
      </c>
      <c r="O49">
        <v>19</v>
      </c>
      <c r="P49">
        <v>204.7</v>
      </c>
      <c r="Q49">
        <v>1527</v>
      </c>
      <c r="T49" t="s">
        <v>79</v>
      </c>
      <c r="U49">
        <v>5203</v>
      </c>
      <c r="V49">
        <v>154.9</v>
      </c>
      <c r="W49">
        <v>0.47069</v>
      </c>
      <c r="X49">
        <v>813</v>
      </c>
      <c r="Y49">
        <v>7468</v>
      </c>
      <c r="Z49">
        <v>192.4</v>
      </c>
      <c r="AA49">
        <v>221.4</v>
      </c>
      <c r="AB49">
        <v>4557</v>
      </c>
      <c r="AC49">
        <v>149.19999999999999</v>
      </c>
      <c r="AD49">
        <v>0.43252000000000002</v>
      </c>
      <c r="AE49">
        <v>649</v>
      </c>
      <c r="AF49">
        <v>6516</v>
      </c>
      <c r="AG49">
        <v>184.4</v>
      </c>
      <c r="AH49">
        <v>220.5</v>
      </c>
      <c r="AK49" t="s">
        <v>208</v>
      </c>
      <c r="AV49">
        <v>204</v>
      </c>
    </row>
    <row r="50" spans="1:48" x14ac:dyDescent="0.2">
      <c r="A50" t="s">
        <v>126</v>
      </c>
      <c r="B50">
        <v>210352</v>
      </c>
      <c r="C50">
        <v>114753</v>
      </c>
      <c r="E50" t="s">
        <v>66</v>
      </c>
      <c r="F50">
        <v>14080</v>
      </c>
      <c r="G50">
        <v>7117</v>
      </c>
      <c r="H50">
        <v>8065</v>
      </c>
      <c r="I50">
        <v>5765</v>
      </c>
      <c r="J50">
        <v>1234</v>
      </c>
      <c r="K50">
        <v>1080</v>
      </c>
      <c r="L50">
        <v>6514</v>
      </c>
      <c r="M50">
        <v>2945</v>
      </c>
      <c r="N50">
        <v>1</v>
      </c>
      <c r="O50">
        <v>36</v>
      </c>
      <c r="P50">
        <v>430.4</v>
      </c>
      <c r="Q50">
        <v>6291</v>
      </c>
      <c r="T50" t="s">
        <v>80</v>
      </c>
      <c r="U50">
        <v>6864</v>
      </c>
      <c r="V50">
        <v>131.19999999999999</v>
      </c>
      <c r="W50">
        <v>0.38329999999999997</v>
      </c>
      <c r="X50">
        <v>957</v>
      </c>
      <c r="Y50">
        <v>9702</v>
      </c>
      <c r="Z50">
        <v>188.5</v>
      </c>
      <c r="AA50">
        <v>204.8</v>
      </c>
      <c r="AB50">
        <v>6848</v>
      </c>
      <c r="AC50">
        <v>130.80000000000001</v>
      </c>
      <c r="AD50">
        <v>0.38099</v>
      </c>
      <c r="AE50">
        <v>955</v>
      </c>
      <c r="AF50">
        <v>9689</v>
      </c>
      <c r="AG50">
        <v>188.8</v>
      </c>
      <c r="AH50">
        <v>204.8</v>
      </c>
      <c r="AK50" t="s">
        <v>209</v>
      </c>
      <c r="AV50">
        <v>1529</v>
      </c>
    </row>
    <row r="51" spans="1:48" x14ac:dyDescent="0.2">
      <c r="A51" t="s">
        <v>127</v>
      </c>
      <c r="B51">
        <v>588</v>
      </c>
      <c r="C51">
        <v>539</v>
      </c>
      <c r="E51" t="s">
        <v>57</v>
      </c>
      <c r="F51">
        <v>820</v>
      </c>
      <c r="G51">
        <v>106</v>
      </c>
      <c r="H51">
        <v>1259</v>
      </c>
      <c r="I51">
        <v>532</v>
      </c>
      <c r="J51">
        <v>356</v>
      </c>
      <c r="K51">
        <v>208</v>
      </c>
      <c r="L51">
        <v>89</v>
      </c>
      <c r="M51">
        <v>41</v>
      </c>
      <c r="N51">
        <v>1</v>
      </c>
      <c r="O51">
        <v>2</v>
      </c>
      <c r="P51">
        <v>202.7</v>
      </c>
      <c r="Q51">
        <v>863</v>
      </c>
      <c r="T51" t="s">
        <v>81</v>
      </c>
      <c r="U51">
        <v>2012</v>
      </c>
      <c r="V51">
        <v>87.2</v>
      </c>
      <c r="W51">
        <v>0.25895000000000001</v>
      </c>
      <c r="X51">
        <v>1203</v>
      </c>
      <c r="Y51">
        <v>13989</v>
      </c>
      <c r="Z51">
        <v>45.6</v>
      </c>
      <c r="AA51">
        <v>59.3</v>
      </c>
      <c r="AB51">
        <v>5818</v>
      </c>
      <c r="AC51">
        <v>152.4</v>
      </c>
      <c r="AD51">
        <v>0.59762999999999999</v>
      </c>
      <c r="AE51">
        <v>1723</v>
      </c>
      <c r="AF51">
        <v>16749</v>
      </c>
      <c r="AG51">
        <v>92.9</v>
      </c>
      <c r="AH51">
        <v>80.3</v>
      </c>
      <c r="AK51" t="s">
        <v>418</v>
      </c>
      <c r="AV51">
        <v>2280</v>
      </c>
    </row>
    <row r="52" spans="1:48" x14ac:dyDescent="0.2">
      <c r="A52" t="s">
        <v>129</v>
      </c>
      <c r="B52">
        <v>1398</v>
      </c>
      <c r="C52">
        <v>335</v>
      </c>
      <c r="E52" t="s">
        <v>84</v>
      </c>
      <c r="F52">
        <v>5721</v>
      </c>
      <c r="G52">
        <v>1507</v>
      </c>
      <c r="H52">
        <v>16553</v>
      </c>
      <c r="I52">
        <v>8267</v>
      </c>
      <c r="J52">
        <v>585</v>
      </c>
      <c r="K52">
        <v>357</v>
      </c>
      <c r="L52">
        <v>171</v>
      </c>
      <c r="M52">
        <v>89</v>
      </c>
      <c r="N52">
        <v>0</v>
      </c>
      <c r="O52">
        <v>3</v>
      </c>
      <c r="P52">
        <v>381.5</v>
      </c>
      <c r="Q52">
        <v>10607</v>
      </c>
      <c r="T52" t="s">
        <v>82</v>
      </c>
      <c r="U52">
        <v>5275</v>
      </c>
      <c r="V52">
        <v>170</v>
      </c>
      <c r="W52">
        <v>0.51317999999999997</v>
      </c>
      <c r="X52">
        <v>691</v>
      </c>
      <c r="Y52">
        <v>5936</v>
      </c>
      <c r="Z52">
        <v>258.2</v>
      </c>
      <c r="AA52">
        <v>258.3</v>
      </c>
      <c r="AB52">
        <v>2344</v>
      </c>
      <c r="AC52">
        <v>186.3</v>
      </c>
      <c r="AD52">
        <v>0.50597000000000003</v>
      </c>
      <c r="AE52">
        <v>315</v>
      </c>
      <c r="AF52">
        <v>3102</v>
      </c>
      <c r="AG52">
        <v>287.5</v>
      </c>
      <c r="AH52">
        <v>296.39999999999998</v>
      </c>
      <c r="AK52" t="s">
        <v>419</v>
      </c>
      <c r="AV52">
        <v>1630</v>
      </c>
    </row>
    <row r="53" spans="1:48" x14ac:dyDescent="0.2">
      <c r="A53" t="s">
        <v>128</v>
      </c>
      <c r="B53">
        <v>29121</v>
      </c>
      <c r="C53">
        <v>26170</v>
      </c>
      <c r="E53" t="s">
        <v>152</v>
      </c>
      <c r="F53">
        <v>98551</v>
      </c>
      <c r="G53">
        <v>40440</v>
      </c>
      <c r="H53">
        <v>110245</v>
      </c>
      <c r="I53">
        <v>72421</v>
      </c>
      <c r="J53">
        <v>19103</v>
      </c>
      <c r="K53">
        <v>16364</v>
      </c>
      <c r="L53">
        <v>59621</v>
      </c>
      <c r="M53">
        <v>36836</v>
      </c>
      <c r="N53">
        <v>353</v>
      </c>
      <c r="O53">
        <v>742</v>
      </c>
      <c r="P53">
        <v>391</v>
      </c>
      <c r="Q53">
        <v>81011</v>
      </c>
      <c r="T53" t="s">
        <v>83</v>
      </c>
      <c r="U53">
        <v>13725</v>
      </c>
      <c r="V53">
        <v>137.6</v>
      </c>
      <c r="W53">
        <v>0.44189000000000001</v>
      </c>
      <c r="X53">
        <v>1956</v>
      </c>
      <c r="Y53">
        <v>20998</v>
      </c>
      <c r="Z53">
        <v>199.8</v>
      </c>
      <c r="AA53">
        <v>227</v>
      </c>
      <c r="AB53">
        <v>14098</v>
      </c>
      <c r="AC53">
        <v>128.19999999999999</v>
      </c>
      <c r="AD53">
        <v>0.40914</v>
      </c>
      <c r="AE53">
        <v>1941</v>
      </c>
      <c r="AF53">
        <v>19631</v>
      </c>
      <c r="AG53">
        <v>187.4</v>
      </c>
      <c r="AH53">
        <v>216.3</v>
      </c>
      <c r="AK53" t="s">
        <v>415</v>
      </c>
      <c r="AV53">
        <v>76106</v>
      </c>
    </row>
    <row r="54" spans="1:48" x14ac:dyDescent="0.2">
      <c r="E54" t="s">
        <v>34</v>
      </c>
      <c r="F54">
        <v>20123</v>
      </c>
      <c r="G54">
        <v>7380</v>
      </c>
      <c r="H54">
        <v>19343</v>
      </c>
      <c r="I54">
        <v>13452</v>
      </c>
      <c r="J54">
        <v>4280</v>
      </c>
      <c r="K54">
        <v>3787</v>
      </c>
      <c r="L54">
        <v>12904</v>
      </c>
      <c r="M54">
        <v>7532</v>
      </c>
      <c r="N54">
        <v>54</v>
      </c>
      <c r="O54">
        <v>24</v>
      </c>
      <c r="P54">
        <v>368.6</v>
      </c>
      <c r="Q54">
        <v>14678</v>
      </c>
      <c r="T54" t="s">
        <v>246</v>
      </c>
      <c r="U54">
        <v>1922</v>
      </c>
      <c r="V54">
        <v>91.5</v>
      </c>
      <c r="W54">
        <v>0.25285999999999997</v>
      </c>
      <c r="X54">
        <v>227</v>
      </c>
      <c r="Y54">
        <v>3038</v>
      </c>
      <c r="Z54">
        <v>129.9</v>
      </c>
      <c r="AA54">
        <v>147.19999999999999</v>
      </c>
      <c r="AB54">
        <v>5498</v>
      </c>
      <c r="AC54">
        <v>119.2</v>
      </c>
      <c r="AD54">
        <v>0.35994999999999999</v>
      </c>
      <c r="AE54">
        <v>591</v>
      </c>
      <c r="AF54">
        <v>5665</v>
      </c>
      <c r="AG54">
        <v>189.8</v>
      </c>
      <c r="AH54">
        <v>172.6</v>
      </c>
      <c r="AK54" t="s">
        <v>185</v>
      </c>
      <c r="AV54">
        <v>5223</v>
      </c>
    </row>
    <row r="55" spans="1:48" x14ac:dyDescent="0.2">
      <c r="E55" t="s">
        <v>63</v>
      </c>
      <c r="F55">
        <v>6184</v>
      </c>
      <c r="G55">
        <v>3359</v>
      </c>
      <c r="H55">
        <v>5342</v>
      </c>
      <c r="I55">
        <v>3740</v>
      </c>
      <c r="J55">
        <v>1209</v>
      </c>
      <c r="K55">
        <v>1048</v>
      </c>
      <c r="L55">
        <v>3466</v>
      </c>
      <c r="M55">
        <v>2774</v>
      </c>
      <c r="N55">
        <v>77</v>
      </c>
      <c r="O55">
        <v>154</v>
      </c>
      <c r="P55">
        <v>377.5</v>
      </c>
      <c r="Q55">
        <v>4386</v>
      </c>
      <c r="T55" t="s">
        <v>247</v>
      </c>
      <c r="U55">
        <v>3931</v>
      </c>
      <c r="V55">
        <v>94.4</v>
      </c>
      <c r="W55">
        <v>0.26379999999999998</v>
      </c>
      <c r="X55">
        <v>798</v>
      </c>
      <c r="Y55">
        <v>7708</v>
      </c>
      <c r="Z55">
        <v>171.5</v>
      </c>
      <c r="AA55">
        <v>181.1</v>
      </c>
      <c r="AB55">
        <v>4010</v>
      </c>
      <c r="AC55">
        <v>93.9</v>
      </c>
      <c r="AD55">
        <v>0.26135000000000003</v>
      </c>
      <c r="AE55">
        <v>805</v>
      </c>
      <c r="AF55">
        <v>7706</v>
      </c>
      <c r="AG55">
        <v>171.3</v>
      </c>
      <c r="AH55">
        <v>181.1</v>
      </c>
      <c r="AK55" t="s">
        <v>186</v>
      </c>
      <c r="AV55">
        <v>1846</v>
      </c>
    </row>
    <row r="56" spans="1:48" x14ac:dyDescent="0.2">
      <c r="E56" t="s">
        <v>83</v>
      </c>
      <c r="F56">
        <v>14009</v>
      </c>
      <c r="G56">
        <v>6064</v>
      </c>
      <c r="H56">
        <v>17647</v>
      </c>
      <c r="I56">
        <v>13285</v>
      </c>
      <c r="J56">
        <v>2473</v>
      </c>
      <c r="K56">
        <v>2269</v>
      </c>
      <c r="L56">
        <v>7252</v>
      </c>
      <c r="M56">
        <v>5243</v>
      </c>
      <c r="N56">
        <v>6</v>
      </c>
      <c r="O56">
        <v>23</v>
      </c>
      <c r="P56">
        <v>417.9</v>
      </c>
      <c r="Q56">
        <v>15522</v>
      </c>
      <c r="T56" t="s">
        <v>248</v>
      </c>
      <c r="U56">
        <v>10949</v>
      </c>
      <c r="V56">
        <v>91</v>
      </c>
      <c r="W56">
        <v>0.22888</v>
      </c>
      <c r="X56">
        <v>1521</v>
      </c>
      <c r="Y56">
        <v>17906</v>
      </c>
      <c r="Z56">
        <v>143.5</v>
      </c>
      <c r="AA56">
        <v>167.9</v>
      </c>
      <c r="AB56">
        <v>14238</v>
      </c>
      <c r="AC56">
        <v>123.8</v>
      </c>
      <c r="AD56">
        <v>0.38291999999999998</v>
      </c>
      <c r="AE56">
        <v>2303</v>
      </c>
      <c r="AF56">
        <v>21832</v>
      </c>
      <c r="AG56">
        <v>172.2</v>
      </c>
      <c r="AH56">
        <v>177.2</v>
      </c>
      <c r="AK56" t="s">
        <v>187</v>
      </c>
      <c r="AV56">
        <v>390</v>
      </c>
    </row>
    <row r="57" spans="1:48" x14ac:dyDescent="0.2">
      <c r="E57" t="s">
        <v>52</v>
      </c>
      <c r="F57">
        <v>11062</v>
      </c>
      <c r="G57">
        <v>3994</v>
      </c>
      <c r="H57">
        <v>19728</v>
      </c>
      <c r="I57">
        <v>12878</v>
      </c>
      <c r="J57">
        <v>1248</v>
      </c>
      <c r="K57">
        <v>1107</v>
      </c>
      <c r="L57">
        <v>2249</v>
      </c>
      <c r="M57">
        <v>1665</v>
      </c>
      <c r="N57">
        <v>4</v>
      </c>
      <c r="O57">
        <v>56</v>
      </c>
      <c r="P57">
        <v>284</v>
      </c>
      <c r="Q57">
        <v>13095</v>
      </c>
      <c r="T57" t="s">
        <v>249</v>
      </c>
      <c r="U57">
        <v>2784</v>
      </c>
      <c r="V57">
        <v>80.900000000000006</v>
      </c>
      <c r="W57">
        <v>0.19109000000000001</v>
      </c>
      <c r="X57">
        <v>549</v>
      </c>
      <c r="Y57">
        <v>6116</v>
      </c>
      <c r="Z57">
        <v>120.1</v>
      </c>
      <c r="AA57">
        <v>122.3</v>
      </c>
      <c r="AB57">
        <v>3402</v>
      </c>
      <c r="AC57">
        <v>77.7</v>
      </c>
      <c r="AD57">
        <v>0.17549000000000001</v>
      </c>
      <c r="AE57">
        <v>737</v>
      </c>
      <c r="AF57">
        <v>7498</v>
      </c>
      <c r="AG57">
        <v>116.7</v>
      </c>
      <c r="AH57">
        <v>119.6</v>
      </c>
      <c r="AK57" t="s">
        <v>188</v>
      </c>
      <c r="AV57">
        <v>8317</v>
      </c>
    </row>
    <row r="58" spans="1:48" x14ac:dyDescent="0.2">
      <c r="E58" t="s">
        <v>86</v>
      </c>
      <c r="F58">
        <v>3204</v>
      </c>
      <c r="G58">
        <v>875</v>
      </c>
      <c r="H58">
        <v>4141</v>
      </c>
      <c r="I58">
        <v>2643</v>
      </c>
      <c r="J58">
        <v>672</v>
      </c>
      <c r="K58">
        <v>628</v>
      </c>
      <c r="L58">
        <v>2077</v>
      </c>
      <c r="M58">
        <v>1263</v>
      </c>
      <c r="N58">
        <v>0</v>
      </c>
      <c r="O58">
        <v>4</v>
      </c>
      <c r="P58">
        <v>296.5</v>
      </c>
      <c r="Q58">
        <v>2639</v>
      </c>
      <c r="T58" t="s">
        <v>86</v>
      </c>
      <c r="U58">
        <v>3199</v>
      </c>
      <c r="V58">
        <v>104.7</v>
      </c>
      <c r="W58">
        <v>0.27351999999999999</v>
      </c>
      <c r="X58">
        <v>354</v>
      </c>
      <c r="Y58">
        <v>5233</v>
      </c>
      <c r="Z58">
        <v>170.6</v>
      </c>
      <c r="AA58">
        <v>175.6</v>
      </c>
      <c r="AB58">
        <v>4288</v>
      </c>
      <c r="AC58">
        <v>129.4</v>
      </c>
      <c r="AD58">
        <v>0.37547000000000003</v>
      </c>
      <c r="AE58">
        <v>540</v>
      </c>
      <c r="AF58">
        <v>6352</v>
      </c>
      <c r="AG58">
        <v>187.7</v>
      </c>
      <c r="AH58">
        <v>176.9</v>
      </c>
      <c r="AK58" t="s">
        <v>189</v>
      </c>
      <c r="AV58">
        <v>4562</v>
      </c>
    </row>
    <row r="59" spans="1:48" x14ac:dyDescent="0.2">
      <c r="E59" t="s">
        <v>72</v>
      </c>
      <c r="F59">
        <v>9955</v>
      </c>
      <c r="G59">
        <v>3241</v>
      </c>
      <c r="H59">
        <v>8135</v>
      </c>
      <c r="I59">
        <v>4377</v>
      </c>
      <c r="J59">
        <v>1561</v>
      </c>
      <c r="K59">
        <v>1379</v>
      </c>
      <c r="L59">
        <v>1707</v>
      </c>
      <c r="M59">
        <v>1510</v>
      </c>
      <c r="N59">
        <v>3</v>
      </c>
      <c r="O59">
        <v>200</v>
      </c>
      <c r="P59">
        <v>226.2</v>
      </c>
      <c r="Q59">
        <v>5486</v>
      </c>
      <c r="T59" t="s">
        <v>87</v>
      </c>
      <c r="U59">
        <v>12286</v>
      </c>
      <c r="V59">
        <v>152.5</v>
      </c>
      <c r="W59">
        <v>0.47176000000000001</v>
      </c>
      <c r="X59">
        <v>3710</v>
      </c>
      <c r="Y59">
        <v>39328</v>
      </c>
      <c r="Z59">
        <v>126.1</v>
      </c>
      <c r="AA59">
        <v>141.4</v>
      </c>
      <c r="AB59">
        <v>9261</v>
      </c>
      <c r="AC59">
        <v>133.80000000000001</v>
      </c>
      <c r="AD59">
        <v>0.39845000000000003</v>
      </c>
      <c r="AE59">
        <v>3261</v>
      </c>
      <c r="AF59">
        <v>35596</v>
      </c>
      <c r="AG59">
        <v>106.7</v>
      </c>
      <c r="AH59">
        <v>128.19999999999999</v>
      </c>
      <c r="AK59" t="s">
        <v>190</v>
      </c>
      <c r="AV59">
        <v>6747</v>
      </c>
    </row>
    <row r="60" spans="1:48" x14ac:dyDescent="0.2">
      <c r="E60" t="s">
        <v>61</v>
      </c>
      <c r="F60">
        <v>3049</v>
      </c>
      <c r="G60">
        <v>874</v>
      </c>
      <c r="H60">
        <v>2979</v>
      </c>
      <c r="I60">
        <v>1681</v>
      </c>
      <c r="J60">
        <v>289</v>
      </c>
      <c r="K60">
        <v>274</v>
      </c>
      <c r="L60">
        <v>2748</v>
      </c>
      <c r="M60">
        <v>1598</v>
      </c>
      <c r="N60">
        <v>2</v>
      </c>
      <c r="O60">
        <v>17</v>
      </c>
      <c r="P60">
        <v>220.7</v>
      </c>
      <c r="Q60">
        <v>2120</v>
      </c>
      <c r="T60" t="s">
        <v>88</v>
      </c>
      <c r="U60">
        <v>1062</v>
      </c>
      <c r="V60">
        <v>89.7</v>
      </c>
      <c r="W60">
        <v>0.2467</v>
      </c>
      <c r="X60">
        <v>172</v>
      </c>
      <c r="Y60">
        <v>2021</v>
      </c>
      <c r="Z60">
        <v>119</v>
      </c>
      <c r="AA60">
        <v>145.5</v>
      </c>
      <c r="AB60">
        <v>2495</v>
      </c>
      <c r="AC60">
        <v>141.69999999999999</v>
      </c>
      <c r="AD60">
        <v>0.48616999999999999</v>
      </c>
      <c r="AE60">
        <v>315</v>
      </c>
      <c r="AF60">
        <v>3418</v>
      </c>
      <c r="AG60">
        <v>170.4</v>
      </c>
      <c r="AH60">
        <v>178.2</v>
      </c>
      <c r="AK60" t="s">
        <v>191</v>
      </c>
      <c r="AV60">
        <v>3348</v>
      </c>
    </row>
    <row r="61" spans="1:48" x14ac:dyDescent="0.2">
      <c r="E61" t="s">
        <v>67</v>
      </c>
      <c r="F61">
        <v>7901</v>
      </c>
      <c r="G61">
        <v>4561</v>
      </c>
      <c r="H61">
        <v>12851</v>
      </c>
      <c r="I61">
        <v>8944</v>
      </c>
      <c r="J61">
        <v>1891</v>
      </c>
      <c r="K61">
        <v>1745</v>
      </c>
      <c r="L61">
        <v>5373</v>
      </c>
      <c r="M61">
        <v>1004</v>
      </c>
      <c r="N61">
        <v>74</v>
      </c>
      <c r="O61">
        <v>229</v>
      </c>
      <c r="P61">
        <v>456.7</v>
      </c>
      <c r="Q61">
        <v>9444</v>
      </c>
      <c r="T61" t="s">
        <v>150</v>
      </c>
      <c r="U61">
        <v>139853</v>
      </c>
      <c r="V61">
        <v>137.6</v>
      </c>
      <c r="W61">
        <v>0.41992000000000002</v>
      </c>
      <c r="X61">
        <v>19293</v>
      </c>
      <c r="Y61">
        <v>201139</v>
      </c>
      <c r="Z61">
        <v>195.8</v>
      </c>
      <c r="AA61">
        <v>215.6</v>
      </c>
      <c r="AB61">
        <v>128644</v>
      </c>
      <c r="AC61">
        <v>137.1</v>
      </c>
      <c r="AD61">
        <v>0.41205000000000003</v>
      </c>
      <c r="AE61">
        <v>18059</v>
      </c>
      <c r="AF61">
        <v>187942</v>
      </c>
      <c r="AG61">
        <v>194.7</v>
      </c>
      <c r="AH61">
        <v>213.4</v>
      </c>
      <c r="AK61" t="s">
        <v>192</v>
      </c>
      <c r="AV61">
        <v>1011</v>
      </c>
    </row>
    <row r="62" spans="1:48" x14ac:dyDescent="0.2">
      <c r="E62" t="s">
        <v>71</v>
      </c>
      <c r="F62">
        <v>9945</v>
      </c>
      <c r="G62">
        <v>4263</v>
      </c>
      <c r="H62">
        <v>13014</v>
      </c>
      <c r="I62">
        <v>9800</v>
      </c>
      <c r="J62">
        <v>4257</v>
      </c>
      <c r="K62">
        <v>3922</v>
      </c>
      <c r="L62">
        <v>3205</v>
      </c>
      <c r="M62">
        <v>2596</v>
      </c>
      <c r="N62">
        <v>3</v>
      </c>
      <c r="O62">
        <v>305</v>
      </c>
      <c r="P62">
        <v>385</v>
      </c>
      <c r="Q62">
        <v>12019</v>
      </c>
      <c r="T62" t="s">
        <v>89</v>
      </c>
      <c r="U62">
        <v>6638</v>
      </c>
      <c r="V62">
        <v>121.6</v>
      </c>
      <c r="W62">
        <v>0.36621999999999999</v>
      </c>
      <c r="X62">
        <v>1310</v>
      </c>
      <c r="Y62">
        <v>12887</v>
      </c>
      <c r="Z62">
        <v>173.2</v>
      </c>
      <c r="AA62">
        <v>194</v>
      </c>
      <c r="AB62">
        <v>6788</v>
      </c>
      <c r="AC62">
        <v>123.2</v>
      </c>
      <c r="AD62">
        <v>0.38406000000000001</v>
      </c>
      <c r="AE62">
        <v>1371</v>
      </c>
      <c r="AF62">
        <v>13641</v>
      </c>
      <c r="AG62">
        <v>173.8</v>
      </c>
      <c r="AH62">
        <v>196</v>
      </c>
      <c r="AK62" t="s">
        <v>193</v>
      </c>
      <c r="AV62">
        <v>5267</v>
      </c>
    </row>
    <row r="63" spans="1:48" x14ac:dyDescent="0.2">
      <c r="E63" t="s">
        <v>94</v>
      </c>
      <c r="F63">
        <v>1401</v>
      </c>
      <c r="G63">
        <v>469</v>
      </c>
      <c r="H63">
        <v>49412</v>
      </c>
      <c r="I63">
        <v>43842</v>
      </c>
      <c r="J63">
        <v>136</v>
      </c>
      <c r="K63">
        <v>128</v>
      </c>
      <c r="L63">
        <v>753</v>
      </c>
      <c r="M63">
        <v>691</v>
      </c>
      <c r="N63">
        <v>0</v>
      </c>
      <c r="O63">
        <v>2</v>
      </c>
      <c r="P63">
        <v>387</v>
      </c>
      <c r="Q63">
        <v>48751</v>
      </c>
      <c r="T63" t="s">
        <v>250</v>
      </c>
      <c r="U63">
        <v>8232</v>
      </c>
      <c r="V63">
        <v>112.2</v>
      </c>
      <c r="W63">
        <v>0.33005000000000001</v>
      </c>
      <c r="X63">
        <v>1264</v>
      </c>
      <c r="Y63">
        <v>12400</v>
      </c>
      <c r="Z63">
        <v>144.5</v>
      </c>
      <c r="AA63">
        <v>154.4</v>
      </c>
      <c r="AB63">
        <v>13281</v>
      </c>
      <c r="AC63">
        <v>127.9</v>
      </c>
      <c r="AD63">
        <v>0.40794999999999998</v>
      </c>
      <c r="AE63">
        <v>1936</v>
      </c>
      <c r="AF63">
        <v>18693</v>
      </c>
      <c r="AG63">
        <v>165.5</v>
      </c>
      <c r="AH63">
        <v>181.8</v>
      </c>
      <c r="AK63" t="s">
        <v>197</v>
      </c>
      <c r="AV63">
        <v>2226</v>
      </c>
    </row>
    <row r="64" spans="1:48" x14ac:dyDescent="0.2">
      <c r="E64" t="s">
        <v>97</v>
      </c>
      <c r="F64">
        <v>28207</v>
      </c>
      <c r="G64">
        <v>11062</v>
      </c>
      <c r="H64">
        <v>23805</v>
      </c>
      <c r="I64">
        <v>16051</v>
      </c>
      <c r="J64">
        <v>3504</v>
      </c>
      <c r="K64">
        <v>3244</v>
      </c>
      <c r="L64">
        <v>12737</v>
      </c>
      <c r="M64">
        <v>4725</v>
      </c>
      <c r="N64">
        <v>0</v>
      </c>
      <c r="O64">
        <v>21</v>
      </c>
      <c r="P64">
        <v>365.7</v>
      </c>
      <c r="Q64">
        <v>17581</v>
      </c>
      <c r="T64" t="s">
        <v>251</v>
      </c>
      <c r="U64">
        <v>7336</v>
      </c>
      <c r="V64">
        <v>50.4</v>
      </c>
      <c r="W64">
        <v>4.4979999999999999E-2</v>
      </c>
      <c r="X64">
        <v>3008</v>
      </c>
      <c r="Y64">
        <v>30764</v>
      </c>
      <c r="Z64">
        <v>60.9</v>
      </c>
      <c r="AA64">
        <v>64.3</v>
      </c>
      <c r="AB64">
        <v>7346</v>
      </c>
      <c r="AC64">
        <v>50.5</v>
      </c>
      <c r="AD64">
        <v>4.5060000000000003E-2</v>
      </c>
      <c r="AE64">
        <v>3017</v>
      </c>
      <c r="AF64">
        <v>30818</v>
      </c>
      <c r="AG64">
        <v>61.3</v>
      </c>
      <c r="AH64">
        <v>64.5</v>
      </c>
      <c r="AK64" t="s">
        <v>199</v>
      </c>
      <c r="AV64">
        <v>1014</v>
      </c>
    </row>
    <row r="65" spans="5:48" x14ac:dyDescent="0.2">
      <c r="E65" t="s">
        <v>91</v>
      </c>
      <c r="F65">
        <v>30277</v>
      </c>
      <c r="G65">
        <v>13856</v>
      </c>
      <c r="H65">
        <v>19074</v>
      </c>
      <c r="I65">
        <v>11601</v>
      </c>
      <c r="J65">
        <v>2276</v>
      </c>
      <c r="K65">
        <v>1675</v>
      </c>
      <c r="L65">
        <v>25283</v>
      </c>
      <c r="M65">
        <v>18622</v>
      </c>
      <c r="N65">
        <v>11</v>
      </c>
      <c r="O65">
        <v>203</v>
      </c>
      <c r="P65">
        <v>303</v>
      </c>
      <c r="Q65">
        <v>15200</v>
      </c>
      <c r="T65" t="s">
        <v>91</v>
      </c>
      <c r="U65">
        <v>31106</v>
      </c>
      <c r="V65">
        <v>148.69999999999999</v>
      </c>
      <c r="W65">
        <v>0.46737000000000001</v>
      </c>
      <c r="X65">
        <v>4180</v>
      </c>
      <c r="Y65">
        <v>42701</v>
      </c>
      <c r="Z65">
        <v>205.2</v>
      </c>
      <c r="AA65">
        <v>229.2</v>
      </c>
      <c r="AB65">
        <v>24519</v>
      </c>
      <c r="AC65">
        <v>139.1</v>
      </c>
      <c r="AD65">
        <v>0.42335</v>
      </c>
      <c r="AE65">
        <v>3187</v>
      </c>
      <c r="AF65">
        <v>35256</v>
      </c>
      <c r="AG65">
        <v>202.1</v>
      </c>
      <c r="AH65">
        <v>230.6</v>
      </c>
      <c r="AK65" t="s">
        <v>420</v>
      </c>
      <c r="AV65">
        <v>293</v>
      </c>
    </row>
    <row r="66" spans="5:48" x14ac:dyDescent="0.2">
      <c r="E66" t="s">
        <v>150</v>
      </c>
      <c r="F66">
        <v>145317</v>
      </c>
      <c r="G66">
        <v>59998</v>
      </c>
      <c r="H66">
        <v>195471</v>
      </c>
      <c r="I66">
        <v>142294</v>
      </c>
      <c r="J66">
        <v>23796</v>
      </c>
      <c r="K66">
        <v>21206</v>
      </c>
      <c r="L66">
        <v>79754</v>
      </c>
      <c r="M66">
        <v>49223</v>
      </c>
      <c r="N66">
        <v>234</v>
      </c>
      <c r="O66">
        <v>1238</v>
      </c>
      <c r="P66">
        <v>364.2</v>
      </c>
      <c r="Q66">
        <v>160921</v>
      </c>
      <c r="T66" t="s">
        <v>92</v>
      </c>
      <c r="U66">
        <v>1391</v>
      </c>
      <c r="V66">
        <v>100.1</v>
      </c>
      <c r="W66">
        <v>0.28827999999999998</v>
      </c>
      <c r="X66">
        <v>257</v>
      </c>
      <c r="Y66">
        <v>2470</v>
      </c>
      <c r="Z66">
        <v>119.3</v>
      </c>
      <c r="AA66">
        <v>121.5</v>
      </c>
      <c r="AB66">
        <v>7007</v>
      </c>
      <c r="AC66">
        <v>167.7</v>
      </c>
      <c r="AD66">
        <v>0.55015999999999998</v>
      </c>
      <c r="AE66">
        <v>1177</v>
      </c>
      <c r="AF66">
        <v>10672</v>
      </c>
      <c r="AG66">
        <v>217.2</v>
      </c>
      <c r="AH66">
        <v>211</v>
      </c>
      <c r="AK66" t="s">
        <v>202</v>
      </c>
      <c r="AV66">
        <v>3563</v>
      </c>
    </row>
    <row r="67" spans="5:48" x14ac:dyDescent="0.2">
      <c r="E67" t="s">
        <v>278</v>
      </c>
      <c r="F67">
        <v>425078</v>
      </c>
      <c r="G67">
        <v>174070</v>
      </c>
      <c r="H67">
        <v>485276</v>
      </c>
      <c r="I67">
        <v>330752</v>
      </c>
      <c r="J67">
        <v>67339</v>
      </c>
      <c r="K67">
        <v>57902</v>
      </c>
      <c r="L67">
        <v>276110</v>
      </c>
      <c r="M67">
        <v>162664</v>
      </c>
      <c r="N67">
        <v>6182</v>
      </c>
      <c r="O67">
        <v>4238</v>
      </c>
      <c r="P67">
        <v>371.6</v>
      </c>
      <c r="Q67">
        <v>370033</v>
      </c>
      <c r="T67" t="s">
        <v>7</v>
      </c>
      <c r="U67">
        <v>450391</v>
      </c>
      <c r="V67">
        <v>130.5</v>
      </c>
      <c r="W67">
        <v>0.39306999999999997</v>
      </c>
      <c r="X67">
        <v>72106</v>
      </c>
      <c r="Y67">
        <v>742178</v>
      </c>
      <c r="Z67">
        <v>170.5</v>
      </c>
      <c r="AA67">
        <v>182.6</v>
      </c>
      <c r="AB67">
        <v>450391</v>
      </c>
      <c r="AC67">
        <v>130.5</v>
      </c>
      <c r="AD67">
        <v>0.39306999999999997</v>
      </c>
      <c r="AE67">
        <v>72106</v>
      </c>
      <c r="AF67">
        <v>742178</v>
      </c>
      <c r="AG67">
        <v>170.5</v>
      </c>
      <c r="AH67">
        <v>182.6</v>
      </c>
      <c r="AK67" t="s">
        <v>206</v>
      </c>
      <c r="AV67">
        <v>301</v>
      </c>
    </row>
    <row r="68" spans="5:48" x14ac:dyDescent="0.2">
      <c r="E68" t="s">
        <v>243</v>
      </c>
      <c r="F68">
        <v>5556</v>
      </c>
      <c r="G68">
        <v>357</v>
      </c>
      <c r="H68">
        <v>10700</v>
      </c>
      <c r="I68">
        <v>696</v>
      </c>
      <c r="J68">
        <v>80</v>
      </c>
      <c r="K68">
        <v>77</v>
      </c>
      <c r="L68">
        <v>442</v>
      </c>
      <c r="M68">
        <v>111</v>
      </c>
      <c r="N68">
        <v>3533</v>
      </c>
      <c r="O68">
        <v>456</v>
      </c>
      <c r="P68">
        <v>57.3</v>
      </c>
      <c r="Q68">
        <v>5429</v>
      </c>
      <c r="T68" t="s">
        <v>252</v>
      </c>
      <c r="U68">
        <v>9233</v>
      </c>
      <c r="V68">
        <v>87.6</v>
      </c>
      <c r="W68">
        <v>0.21748000000000001</v>
      </c>
      <c r="X68">
        <v>1475</v>
      </c>
      <c r="Y68">
        <v>14212</v>
      </c>
      <c r="Z68">
        <v>163.5</v>
      </c>
      <c r="AA68">
        <v>156.69999999999999</v>
      </c>
      <c r="AB68">
        <v>9233</v>
      </c>
      <c r="AC68">
        <v>87.6</v>
      </c>
      <c r="AD68">
        <v>0.21748000000000001</v>
      </c>
      <c r="AE68">
        <v>1475</v>
      </c>
      <c r="AF68">
        <v>14212</v>
      </c>
      <c r="AG68">
        <v>163.5</v>
      </c>
      <c r="AH68">
        <v>156.69999999999999</v>
      </c>
      <c r="AK68" t="s">
        <v>421</v>
      </c>
      <c r="AV68">
        <v>316</v>
      </c>
    </row>
    <row r="69" spans="5:48" x14ac:dyDescent="0.2">
      <c r="E69" t="s">
        <v>279</v>
      </c>
      <c r="F69">
        <v>263</v>
      </c>
      <c r="G69">
        <v>118</v>
      </c>
      <c r="H69">
        <v>1061</v>
      </c>
      <c r="I69">
        <v>850</v>
      </c>
      <c r="J69">
        <v>325</v>
      </c>
      <c r="K69">
        <v>318</v>
      </c>
      <c r="L69">
        <v>223</v>
      </c>
      <c r="M69">
        <v>198</v>
      </c>
      <c r="N69">
        <v>99</v>
      </c>
      <c r="O69">
        <v>0</v>
      </c>
      <c r="Q69">
        <v>0</v>
      </c>
      <c r="T69" t="s">
        <v>253</v>
      </c>
      <c r="U69">
        <v>20270</v>
      </c>
      <c r="V69">
        <v>56.9</v>
      </c>
      <c r="W69">
        <v>8.3129999999999996E-2</v>
      </c>
      <c r="X69">
        <v>7162</v>
      </c>
      <c r="Y69">
        <v>83018</v>
      </c>
      <c r="Z69">
        <v>62</v>
      </c>
      <c r="AA69">
        <v>64.900000000000006</v>
      </c>
      <c r="AB69">
        <v>20270</v>
      </c>
      <c r="AC69">
        <v>56.9</v>
      </c>
      <c r="AD69">
        <v>8.3129999999999996E-2</v>
      </c>
      <c r="AE69">
        <v>7162</v>
      </c>
      <c r="AF69">
        <v>83018</v>
      </c>
      <c r="AG69">
        <v>62</v>
      </c>
      <c r="AH69">
        <v>64.900000000000006</v>
      </c>
      <c r="AK69" t="s">
        <v>210</v>
      </c>
      <c r="AV69">
        <v>1027</v>
      </c>
    </row>
    <row r="70" spans="5:48" x14ac:dyDescent="0.2">
      <c r="E70" t="s">
        <v>245</v>
      </c>
      <c r="F70">
        <v>11089</v>
      </c>
      <c r="G70">
        <v>1560</v>
      </c>
      <c r="H70">
        <v>19975</v>
      </c>
      <c r="I70">
        <v>3500</v>
      </c>
      <c r="J70">
        <v>3040</v>
      </c>
      <c r="K70">
        <v>3010</v>
      </c>
      <c r="L70">
        <v>3575</v>
      </c>
      <c r="M70">
        <v>279</v>
      </c>
      <c r="N70">
        <v>1901</v>
      </c>
      <c r="O70">
        <v>2391</v>
      </c>
      <c r="P70">
        <v>91.2</v>
      </c>
      <c r="Q70">
        <v>12576</v>
      </c>
      <c r="T70" t="s">
        <v>254</v>
      </c>
      <c r="U70">
        <v>8153</v>
      </c>
      <c r="V70">
        <v>82.7</v>
      </c>
      <c r="W70">
        <v>0.20618</v>
      </c>
      <c r="X70">
        <v>1435</v>
      </c>
      <c r="Y70">
        <v>14491</v>
      </c>
      <c r="Z70">
        <v>139.69999999999999</v>
      </c>
      <c r="AA70">
        <v>136.6</v>
      </c>
      <c r="AB70">
        <v>8153</v>
      </c>
      <c r="AC70">
        <v>82.7</v>
      </c>
      <c r="AD70">
        <v>0.20618</v>
      </c>
      <c r="AE70">
        <v>1435</v>
      </c>
      <c r="AF70">
        <v>14491</v>
      </c>
      <c r="AG70">
        <v>139.69999999999999</v>
      </c>
      <c r="AH70">
        <v>136.6</v>
      </c>
      <c r="AK70" t="s">
        <v>415</v>
      </c>
      <c r="AV70">
        <v>45451</v>
      </c>
    </row>
    <row r="71" spans="5:48" x14ac:dyDescent="0.2">
      <c r="E71" t="s">
        <v>251</v>
      </c>
      <c r="F71">
        <v>6579</v>
      </c>
      <c r="G71">
        <v>210</v>
      </c>
      <c r="H71">
        <v>10040</v>
      </c>
      <c r="I71">
        <v>32</v>
      </c>
      <c r="J71">
        <v>40</v>
      </c>
      <c r="K71">
        <v>39</v>
      </c>
      <c r="L71">
        <v>111</v>
      </c>
      <c r="M71">
        <v>25</v>
      </c>
      <c r="N71">
        <v>4233</v>
      </c>
      <c r="O71">
        <v>1025</v>
      </c>
      <c r="P71">
        <v>46.8</v>
      </c>
      <c r="Q71">
        <v>5294</v>
      </c>
      <c r="T71" t="s">
        <v>255</v>
      </c>
      <c r="U71">
        <v>412735</v>
      </c>
      <c r="V71">
        <v>136</v>
      </c>
      <c r="W71">
        <v>0.41592000000000001</v>
      </c>
      <c r="X71">
        <v>62034</v>
      </c>
      <c r="Y71">
        <v>630457</v>
      </c>
      <c r="Z71">
        <v>184</v>
      </c>
      <c r="AA71">
        <v>199.8</v>
      </c>
      <c r="AB71">
        <v>412735</v>
      </c>
      <c r="AC71">
        <v>136</v>
      </c>
      <c r="AD71">
        <v>0.41592000000000001</v>
      </c>
      <c r="AE71">
        <v>62034</v>
      </c>
      <c r="AF71">
        <v>630457</v>
      </c>
      <c r="AG71">
        <v>184</v>
      </c>
      <c r="AH71">
        <v>199.8</v>
      </c>
      <c r="AK71" t="s">
        <v>7</v>
      </c>
      <c r="AL71">
        <v>203655</v>
      </c>
      <c r="AM71">
        <v>404.7</v>
      </c>
      <c r="AN71">
        <v>21276</v>
      </c>
      <c r="AO71">
        <v>58318</v>
      </c>
      <c r="AP71">
        <v>631</v>
      </c>
      <c r="AQ71">
        <v>22052</v>
      </c>
      <c r="AR71">
        <v>541.79999999999995</v>
      </c>
      <c r="AS71">
        <v>13278</v>
      </c>
      <c r="AT71">
        <v>174.1</v>
      </c>
      <c r="AU71">
        <v>440</v>
      </c>
      <c r="AV71">
        <v>297743</v>
      </c>
    </row>
    <row r="72" spans="5:48" x14ac:dyDescent="0.2">
      <c r="E72" t="s">
        <v>253</v>
      </c>
      <c r="F72">
        <v>23487</v>
      </c>
      <c r="G72">
        <v>2245</v>
      </c>
      <c r="H72">
        <v>41776</v>
      </c>
      <c r="I72">
        <v>5078</v>
      </c>
      <c r="J72">
        <v>3485</v>
      </c>
      <c r="K72">
        <v>3444</v>
      </c>
      <c r="L72">
        <v>4351</v>
      </c>
      <c r="M72">
        <v>613</v>
      </c>
      <c r="N72">
        <v>9766</v>
      </c>
      <c r="O72">
        <v>3872</v>
      </c>
      <c r="P72">
        <v>73.2</v>
      </c>
      <c r="Q72">
        <v>23299</v>
      </c>
      <c r="T72" t="s">
        <v>93</v>
      </c>
      <c r="U72">
        <v>21343</v>
      </c>
      <c r="V72">
        <v>137.80000000000001</v>
      </c>
      <c r="W72">
        <v>0.42047000000000001</v>
      </c>
      <c r="X72">
        <v>3221</v>
      </c>
      <c r="Y72">
        <v>30110</v>
      </c>
      <c r="Z72">
        <v>183.6</v>
      </c>
      <c r="AA72">
        <v>201.7</v>
      </c>
      <c r="AB72">
        <v>20848</v>
      </c>
      <c r="AC72">
        <v>138</v>
      </c>
      <c r="AD72">
        <v>0.41721000000000003</v>
      </c>
      <c r="AE72">
        <v>3150</v>
      </c>
      <c r="AF72">
        <v>30454</v>
      </c>
      <c r="AG72">
        <v>184.5</v>
      </c>
      <c r="AH72">
        <v>205.3</v>
      </c>
    </row>
    <row r="73" spans="5:48" x14ac:dyDescent="0.2">
      <c r="T73" t="s">
        <v>430</v>
      </c>
      <c r="U73">
        <v>1128</v>
      </c>
      <c r="V73">
        <v>118.8</v>
      </c>
      <c r="W73">
        <v>0.34839999999999999</v>
      </c>
      <c r="X73">
        <v>57</v>
      </c>
      <c r="Y73">
        <v>366</v>
      </c>
      <c r="Z73">
        <v>212.9</v>
      </c>
      <c r="AA73">
        <v>235.7</v>
      </c>
      <c r="AB73">
        <v>3538</v>
      </c>
      <c r="AC73">
        <v>121.5</v>
      </c>
      <c r="AD73">
        <v>0.31995000000000001</v>
      </c>
      <c r="AE73">
        <v>4</v>
      </c>
      <c r="AF73">
        <v>125</v>
      </c>
      <c r="AG73">
        <v>106.8</v>
      </c>
      <c r="AH73">
        <v>231.5</v>
      </c>
    </row>
    <row r="74" spans="5:48" x14ac:dyDescent="0.2">
      <c r="T74" t="s">
        <v>152</v>
      </c>
      <c r="U74">
        <v>93761</v>
      </c>
      <c r="V74">
        <v>135.80000000000001</v>
      </c>
      <c r="W74">
        <v>0.41376000000000002</v>
      </c>
      <c r="X74">
        <v>15076</v>
      </c>
      <c r="Y74">
        <v>154741</v>
      </c>
      <c r="Z74">
        <v>176.6</v>
      </c>
      <c r="AA74">
        <v>188.6</v>
      </c>
      <c r="AB74">
        <v>88981</v>
      </c>
      <c r="AC74">
        <v>136.19999999999999</v>
      </c>
      <c r="AD74">
        <v>0.41204000000000002</v>
      </c>
      <c r="AE74">
        <v>14483</v>
      </c>
      <c r="AF74">
        <v>150102</v>
      </c>
      <c r="AG74">
        <v>176.3</v>
      </c>
      <c r="AH74">
        <v>188</v>
      </c>
    </row>
    <row r="75" spans="5:48" x14ac:dyDescent="0.2">
      <c r="T75" t="s">
        <v>256</v>
      </c>
      <c r="U75">
        <v>527</v>
      </c>
      <c r="V75">
        <v>124.4</v>
      </c>
      <c r="W75">
        <v>0.38519999999999999</v>
      </c>
      <c r="X75">
        <v>68</v>
      </c>
      <c r="Y75">
        <v>816</v>
      </c>
      <c r="Z75">
        <v>210.2</v>
      </c>
      <c r="AA75">
        <v>176.4</v>
      </c>
      <c r="AB75">
        <v>1045</v>
      </c>
      <c r="AC75">
        <v>112.2</v>
      </c>
      <c r="AD75">
        <v>0.24210999999999999</v>
      </c>
      <c r="AE75">
        <v>95</v>
      </c>
      <c r="AF75">
        <v>1238</v>
      </c>
      <c r="AG75">
        <v>211.4</v>
      </c>
      <c r="AH75">
        <v>206.6</v>
      </c>
    </row>
    <row r="76" spans="5:48" x14ac:dyDescent="0.2">
      <c r="T76" t="s">
        <v>95</v>
      </c>
      <c r="U76">
        <v>2934</v>
      </c>
      <c r="V76">
        <v>113.9</v>
      </c>
      <c r="W76">
        <v>0.36298999999999998</v>
      </c>
      <c r="X76">
        <v>444</v>
      </c>
      <c r="Y76">
        <v>4371</v>
      </c>
      <c r="Z76">
        <v>163.9</v>
      </c>
      <c r="AA76">
        <v>189.1</v>
      </c>
      <c r="AB76">
        <v>2846</v>
      </c>
      <c r="AC76">
        <v>113.2</v>
      </c>
      <c r="AD76">
        <v>0.3584</v>
      </c>
      <c r="AE76">
        <v>435</v>
      </c>
      <c r="AF76">
        <v>4345</v>
      </c>
      <c r="AG76">
        <v>163.30000000000001</v>
      </c>
      <c r="AH76">
        <v>190.1</v>
      </c>
    </row>
    <row r="77" spans="5:48" x14ac:dyDescent="0.2">
      <c r="P77" s="17"/>
      <c r="Q77" s="17"/>
      <c r="R77" s="17"/>
      <c r="S77" s="17"/>
      <c r="T77" t="s">
        <v>96</v>
      </c>
      <c r="U77">
        <v>1116</v>
      </c>
      <c r="V77">
        <v>155.6</v>
      </c>
      <c r="W77">
        <v>0.48387000000000002</v>
      </c>
      <c r="X77">
        <v>160</v>
      </c>
      <c r="Y77">
        <v>1458</v>
      </c>
      <c r="Z77">
        <v>191.1</v>
      </c>
      <c r="AA77">
        <v>225.5</v>
      </c>
      <c r="AB77">
        <v>810</v>
      </c>
      <c r="AC77">
        <v>160</v>
      </c>
      <c r="AD77">
        <v>0.48642000000000002</v>
      </c>
      <c r="AE77">
        <v>103</v>
      </c>
      <c r="AF77">
        <v>1229</v>
      </c>
      <c r="AG77">
        <v>218.9</v>
      </c>
      <c r="AH77">
        <v>225.2</v>
      </c>
    </row>
    <row r="78" spans="5:48" x14ac:dyDescent="0.2">
      <c r="T78" t="s">
        <v>257</v>
      </c>
      <c r="U78">
        <v>22154</v>
      </c>
      <c r="V78">
        <v>139.6</v>
      </c>
      <c r="W78">
        <v>0.43062</v>
      </c>
      <c r="X78">
        <v>3353</v>
      </c>
      <c r="Y78">
        <v>30083</v>
      </c>
      <c r="Z78">
        <v>200.6</v>
      </c>
      <c r="AA78">
        <v>220.8</v>
      </c>
      <c r="AB78">
        <v>14579</v>
      </c>
      <c r="AC78">
        <v>134.9</v>
      </c>
      <c r="AD78">
        <v>0.41265000000000002</v>
      </c>
      <c r="AE78">
        <v>2271</v>
      </c>
      <c r="AF78">
        <v>22801</v>
      </c>
      <c r="AG78">
        <v>211.4</v>
      </c>
      <c r="AH78">
        <v>228.3</v>
      </c>
    </row>
    <row r="79" spans="5:48" x14ac:dyDescent="0.2">
      <c r="T79" t="s">
        <v>258</v>
      </c>
      <c r="U79">
        <v>3780</v>
      </c>
      <c r="V79">
        <v>85.4</v>
      </c>
      <c r="W79">
        <v>0.18995000000000001</v>
      </c>
      <c r="X79">
        <v>566</v>
      </c>
      <c r="Y79">
        <v>5253</v>
      </c>
      <c r="Z79">
        <v>156.80000000000001</v>
      </c>
      <c r="AA79">
        <v>121.8</v>
      </c>
      <c r="AB79">
        <v>4434</v>
      </c>
      <c r="AC79">
        <v>80.2</v>
      </c>
      <c r="AD79">
        <v>0.17050000000000001</v>
      </c>
      <c r="AE79">
        <v>584</v>
      </c>
      <c r="AF79">
        <v>5292</v>
      </c>
      <c r="AG79">
        <v>156.69999999999999</v>
      </c>
      <c r="AH79">
        <v>121.9</v>
      </c>
    </row>
    <row r="80" spans="5:48" x14ac:dyDescent="0.2">
      <c r="T80" t="s">
        <v>259</v>
      </c>
      <c r="U80">
        <v>3312</v>
      </c>
      <c r="V80">
        <v>96.8</v>
      </c>
      <c r="W80">
        <v>0.27566000000000002</v>
      </c>
      <c r="X80">
        <v>653</v>
      </c>
      <c r="Y80">
        <v>6460</v>
      </c>
      <c r="Z80">
        <v>163.19999999999999</v>
      </c>
      <c r="AA80">
        <v>151.5</v>
      </c>
      <c r="AB80">
        <v>4105</v>
      </c>
      <c r="AC80">
        <v>88.2</v>
      </c>
      <c r="AD80">
        <v>0.23458999999999999</v>
      </c>
      <c r="AE80">
        <v>676</v>
      </c>
      <c r="AF80">
        <v>6538</v>
      </c>
      <c r="AG80">
        <v>162</v>
      </c>
      <c r="AH80">
        <v>151.30000000000001</v>
      </c>
      <c r="AI80" s="17"/>
      <c r="AJ80" s="17"/>
    </row>
    <row r="81" spans="3:34" x14ac:dyDescent="0.2">
      <c r="T81" s="17"/>
      <c r="U81" s="17"/>
      <c r="V81" s="17"/>
      <c r="W81" s="17"/>
      <c r="X81" s="17"/>
      <c r="Y81" s="17"/>
      <c r="Z81" s="17"/>
      <c r="AA81" s="17"/>
      <c r="AB81" s="17"/>
      <c r="AC81" s="17"/>
      <c r="AD81" s="17"/>
      <c r="AE81" s="17"/>
      <c r="AF81" s="17"/>
      <c r="AG81" s="17"/>
      <c r="AH81" s="17"/>
    </row>
    <row r="83" spans="3:34" x14ac:dyDescent="0.2">
      <c r="C83" s="17"/>
      <c r="D83" s="17"/>
      <c r="E83" s="17"/>
      <c r="F83" s="17"/>
      <c r="G83" s="17"/>
      <c r="H83" s="17"/>
      <c r="I83" s="17"/>
      <c r="J83" s="17"/>
      <c r="K83" s="17"/>
      <c r="L83" s="17"/>
      <c r="M83" s="17"/>
      <c r="N83" s="17"/>
      <c r="O83" s="17"/>
    </row>
    <row r="114" spans="1:37" x14ac:dyDescent="0.2">
      <c r="A114" s="291" t="s">
        <v>454</v>
      </c>
      <c r="B114" s="292"/>
      <c r="C114" s="292"/>
      <c r="D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H124" s="37"/>
      <c r="I124" s="37"/>
      <c r="J124" s="37"/>
      <c r="K124" s="37"/>
      <c r="L124" s="37"/>
      <c r="M124" s="37"/>
      <c r="N124" s="37"/>
      <c r="O124" s="37"/>
      <c r="P124" s="37"/>
      <c r="Q124" s="37"/>
      <c r="R124" s="37"/>
      <c r="S124" s="37"/>
    </row>
    <row r="125" spans="1:37" ht="21" customHeight="1" x14ac:dyDescent="0.2">
      <c r="A125" s="37"/>
      <c r="B125" s="37"/>
      <c r="C125" s="37"/>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592" t="s">
        <v>455</v>
      </c>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41"/>
      <c r="AC1" s="37"/>
      <c r="AD1" s="568" t="s">
        <v>456</v>
      </c>
      <c r="AE1" s="568"/>
      <c r="AF1" s="568"/>
      <c r="AG1" s="568"/>
      <c r="AH1" s="568"/>
      <c r="AI1" s="568"/>
      <c r="AJ1" s="568"/>
      <c r="AK1" s="568"/>
      <c r="AL1" s="568"/>
      <c r="AM1" s="568"/>
      <c r="AN1" s="568"/>
      <c r="AO1" s="568"/>
      <c r="AP1" s="568"/>
      <c r="AQ1" s="568"/>
    </row>
    <row r="2" spans="1:43" ht="13.5" customHeight="1" thickBot="1" x14ac:dyDescent="0.25">
      <c r="A2" s="37"/>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41"/>
      <c r="AC2" s="37"/>
      <c r="AD2" s="568"/>
      <c r="AE2" s="568"/>
      <c r="AF2" s="568"/>
      <c r="AG2" s="568"/>
      <c r="AH2" s="568"/>
      <c r="AI2" s="568"/>
      <c r="AJ2" s="568"/>
      <c r="AK2" s="568"/>
      <c r="AL2" s="568"/>
      <c r="AM2" s="568"/>
      <c r="AN2" s="568"/>
      <c r="AO2" s="568"/>
      <c r="AP2" s="568"/>
      <c r="AQ2" s="568"/>
    </row>
    <row r="3" spans="1:43" ht="21" thickTop="1" x14ac:dyDescent="0.2">
      <c r="A3" s="37"/>
      <c r="B3" s="590" t="s">
        <v>458</v>
      </c>
      <c r="C3" s="591"/>
      <c r="D3" s="591"/>
      <c r="E3" s="591"/>
      <c r="F3" s="597" t="s">
        <v>436</v>
      </c>
      <c r="G3" s="597"/>
      <c r="H3" s="597"/>
      <c r="I3" s="597"/>
      <c r="J3" s="597"/>
      <c r="K3" s="597"/>
      <c r="L3" s="597"/>
      <c r="M3" s="597"/>
      <c r="N3" s="598"/>
      <c r="O3" s="41"/>
      <c r="P3" s="590" t="s">
        <v>458</v>
      </c>
      <c r="Q3" s="591"/>
      <c r="R3" s="591"/>
      <c r="S3" s="591"/>
      <c r="T3" s="597" t="s">
        <v>437</v>
      </c>
      <c r="U3" s="597"/>
      <c r="V3" s="597"/>
      <c r="W3" s="597"/>
      <c r="X3" s="597"/>
      <c r="Y3" s="597"/>
      <c r="Z3" s="597"/>
      <c r="AA3" s="597"/>
      <c r="AB3" s="598"/>
      <c r="AC3" s="37"/>
      <c r="AF3" s="573" t="s">
        <v>220</v>
      </c>
      <c r="AG3" s="574"/>
      <c r="AH3" s="575"/>
      <c r="AI3" s="573" t="s">
        <v>221</v>
      </c>
      <c r="AJ3" s="574"/>
      <c r="AK3" s="575"/>
      <c r="AL3" s="573" t="s">
        <v>219</v>
      </c>
      <c r="AM3" s="574"/>
      <c r="AN3" s="575"/>
      <c r="AO3" s="573" t="s">
        <v>218</v>
      </c>
      <c r="AP3" s="574"/>
      <c r="AQ3" s="579"/>
    </row>
    <row r="4" spans="1:43" ht="13.5" customHeight="1" thickBot="1" x14ac:dyDescent="0.25">
      <c r="A4" s="37"/>
      <c r="B4" s="311"/>
      <c r="C4" s="582" t="s">
        <v>459</v>
      </c>
      <c r="D4" s="583"/>
      <c r="E4" s="593" t="s">
        <v>439</v>
      </c>
      <c r="F4" s="593"/>
      <c r="G4" s="593"/>
      <c r="H4" s="318"/>
      <c r="I4" s="318"/>
      <c r="J4" s="318"/>
      <c r="K4" s="593" t="s">
        <v>438</v>
      </c>
      <c r="L4" s="593"/>
      <c r="M4" s="594"/>
      <c r="N4" s="312"/>
      <c r="O4" s="41"/>
      <c r="P4" s="311"/>
      <c r="Q4" s="582" t="s">
        <v>459</v>
      </c>
      <c r="R4" s="583"/>
      <c r="S4" s="593" t="s">
        <v>439</v>
      </c>
      <c r="T4" s="593"/>
      <c r="U4" s="593"/>
      <c r="V4" s="318"/>
      <c r="W4" s="318"/>
      <c r="X4" s="318"/>
      <c r="Y4" s="593" t="s">
        <v>217</v>
      </c>
      <c r="Z4" s="593"/>
      <c r="AA4" s="594"/>
      <c r="AB4" s="312"/>
      <c r="AC4" s="37"/>
      <c r="AD4" s="581"/>
      <c r="AE4" s="581"/>
      <c r="AF4" s="576"/>
      <c r="AG4" s="577"/>
      <c r="AH4" s="578"/>
      <c r="AI4" s="576"/>
      <c r="AJ4" s="577"/>
      <c r="AK4" s="578"/>
      <c r="AL4" s="576"/>
      <c r="AM4" s="577"/>
      <c r="AN4" s="578"/>
      <c r="AO4" s="576"/>
      <c r="AP4" s="577"/>
      <c r="AQ4" s="580"/>
    </row>
    <row r="5" spans="1:43" ht="12.75" customHeight="1" thickBot="1" x14ac:dyDescent="0.25">
      <c r="A5" s="37"/>
      <c r="B5" s="308"/>
      <c r="C5" s="586" t="s">
        <v>460</v>
      </c>
      <c r="D5" s="587"/>
      <c r="E5" s="569" t="s">
        <v>221</v>
      </c>
      <c r="F5" s="569"/>
      <c r="G5" s="569"/>
      <c r="H5" s="319"/>
      <c r="I5" s="319"/>
      <c r="J5" s="319"/>
      <c r="K5" s="569" t="s">
        <v>220</v>
      </c>
      <c r="L5" s="569"/>
      <c r="M5" s="571"/>
      <c r="N5" s="304"/>
      <c r="O5" s="37"/>
      <c r="P5" s="308"/>
      <c r="Q5" s="595" t="s">
        <v>460</v>
      </c>
      <c r="R5" s="596"/>
      <c r="S5" s="569" t="s">
        <v>219</v>
      </c>
      <c r="T5" s="569"/>
      <c r="U5" s="569"/>
      <c r="V5" s="319"/>
      <c r="W5" s="319"/>
      <c r="X5" s="319"/>
      <c r="Y5" s="569" t="s">
        <v>218</v>
      </c>
      <c r="Z5" s="569"/>
      <c r="AA5" s="571"/>
      <c r="AB5" s="304"/>
      <c r="AC5" s="37"/>
      <c r="AD5" s="299"/>
      <c r="AE5" s="299"/>
      <c r="AF5" s="366"/>
      <c r="AG5" s="322"/>
      <c r="AH5" s="367"/>
      <c r="AI5" s="322"/>
      <c r="AJ5" s="322"/>
      <c r="AK5" s="322"/>
      <c r="AL5" s="366"/>
      <c r="AM5" s="322"/>
      <c r="AN5" s="367"/>
      <c r="AO5" s="322"/>
      <c r="AP5" s="322"/>
      <c r="AQ5" s="323"/>
    </row>
    <row r="6" spans="1:43" ht="13.5" thickTop="1" x14ac:dyDescent="0.2">
      <c r="A6" s="37"/>
      <c r="B6" s="308"/>
      <c r="C6" s="588"/>
      <c r="D6" s="589"/>
      <c r="E6" s="570"/>
      <c r="F6" s="570"/>
      <c r="G6" s="570"/>
      <c r="H6" s="321"/>
      <c r="I6" s="321"/>
      <c r="J6" s="321"/>
      <c r="K6" s="570"/>
      <c r="L6" s="570"/>
      <c r="M6" s="572"/>
      <c r="N6" s="304"/>
      <c r="O6" s="37"/>
      <c r="P6" s="308"/>
      <c r="Q6" s="320"/>
      <c r="R6" s="321"/>
      <c r="S6" s="570"/>
      <c r="T6" s="570"/>
      <c r="U6" s="570"/>
      <c r="V6" s="321"/>
      <c r="W6" s="321"/>
      <c r="X6" s="321"/>
      <c r="Y6" s="570"/>
      <c r="Z6" s="570"/>
      <c r="AA6" s="572"/>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4" t="s">
        <v>461</v>
      </c>
      <c r="D7" s="585"/>
      <c r="E7" s="585"/>
      <c r="F7" s="585"/>
      <c r="G7" s="585"/>
      <c r="H7" s="37"/>
      <c r="I7" s="584" t="s">
        <v>461</v>
      </c>
      <c r="J7" s="585"/>
      <c r="K7" s="585"/>
      <c r="L7" s="585"/>
      <c r="M7" s="585"/>
      <c r="N7" s="304"/>
      <c r="O7" s="37"/>
      <c r="P7" s="308"/>
      <c r="Q7" s="584" t="s">
        <v>461</v>
      </c>
      <c r="R7" s="585"/>
      <c r="S7" s="585"/>
      <c r="T7" s="585"/>
      <c r="U7" s="585"/>
      <c r="V7" s="37"/>
      <c r="W7" s="584" t="s">
        <v>461</v>
      </c>
      <c r="X7" s="585"/>
      <c r="Y7" s="585"/>
      <c r="Z7" s="585"/>
      <c r="AA7" s="585"/>
      <c r="AB7" s="304"/>
      <c r="AC7" s="37"/>
      <c r="AD7" s="337" t="s">
        <v>7</v>
      </c>
      <c r="AE7" s="359" t="s">
        <v>214</v>
      </c>
      <c r="AF7" s="370">
        <v>0.96047104710471043</v>
      </c>
      <c r="AG7" s="270">
        <v>527</v>
      </c>
      <c r="AH7" s="371">
        <v>13332</v>
      </c>
      <c r="AI7" s="296">
        <v>0.90544929628293036</v>
      </c>
      <c r="AJ7" s="270">
        <v>262</v>
      </c>
      <c r="AK7" s="386">
        <v>2771</v>
      </c>
      <c r="AL7" s="370">
        <v>0.90975286849073256</v>
      </c>
      <c r="AM7" s="270">
        <v>1227</v>
      </c>
      <c r="AN7" s="371">
        <v>13596</v>
      </c>
      <c r="AO7" s="296">
        <v>0.91750966974114845</v>
      </c>
      <c r="AP7" s="270">
        <v>1023</v>
      </c>
      <c r="AQ7" s="338">
        <v>13059</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0.95268763933614076</v>
      </c>
      <c r="AG8" s="273">
        <v>191</v>
      </c>
      <c r="AH8" s="373">
        <v>4037</v>
      </c>
      <c r="AI8" s="360">
        <v>0.88325471698113212</v>
      </c>
      <c r="AJ8" s="273">
        <v>99</v>
      </c>
      <c r="AK8" s="387">
        <v>848</v>
      </c>
      <c r="AL8" s="372">
        <v>0.89891975308641969</v>
      </c>
      <c r="AM8" s="273">
        <v>393</v>
      </c>
      <c r="AN8" s="373">
        <v>3888</v>
      </c>
      <c r="AO8" s="360">
        <v>0.90568544102019133</v>
      </c>
      <c r="AP8" s="273">
        <v>355</v>
      </c>
      <c r="AQ8" s="340">
        <v>3764</v>
      </c>
    </row>
    <row r="9" spans="1:43" x14ac:dyDescent="0.2">
      <c r="A9" s="37"/>
      <c r="B9" s="308"/>
      <c r="C9" s="404" t="s">
        <v>48</v>
      </c>
      <c r="D9" s="405" t="s">
        <v>159</v>
      </c>
      <c r="E9" s="406">
        <v>6</v>
      </c>
      <c r="F9" s="406">
        <v>49</v>
      </c>
      <c r="G9" s="407">
        <v>0.87755102040816324</v>
      </c>
      <c r="H9" s="37"/>
      <c r="I9" s="404" t="s">
        <v>48</v>
      </c>
      <c r="J9" s="405" t="s">
        <v>159</v>
      </c>
      <c r="K9" s="416">
        <v>9</v>
      </c>
      <c r="L9" s="416">
        <v>189</v>
      </c>
      <c r="M9" s="417">
        <v>0.95238095238095233</v>
      </c>
      <c r="N9" s="306"/>
      <c r="O9" s="37"/>
      <c r="P9" s="308"/>
      <c r="Q9" s="404" t="s">
        <v>48</v>
      </c>
      <c r="R9" s="405" t="s">
        <v>159</v>
      </c>
      <c r="S9" s="416">
        <v>19</v>
      </c>
      <c r="T9" s="416">
        <v>237</v>
      </c>
      <c r="U9" s="417">
        <v>0.91983122362869196</v>
      </c>
      <c r="V9" s="37"/>
      <c r="W9" s="404" t="s">
        <v>48</v>
      </c>
      <c r="X9" s="405" t="s">
        <v>159</v>
      </c>
      <c r="Y9" s="416">
        <v>28</v>
      </c>
      <c r="Z9" s="416">
        <v>245</v>
      </c>
      <c r="AA9" s="417">
        <v>0.88571428571428568</v>
      </c>
      <c r="AB9" s="306"/>
      <c r="AC9" s="37"/>
      <c r="AD9" s="341" t="s">
        <v>46</v>
      </c>
      <c r="AE9" s="274" t="s">
        <v>166</v>
      </c>
      <c r="AF9" s="374">
        <v>0.92576419213973793</v>
      </c>
      <c r="AG9" s="275">
        <v>34</v>
      </c>
      <c r="AH9" s="375">
        <v>458</v>
      </c>
      <c r="AI9" s="361">
        <v>0.82222222222222219</v>
      </c>
      <c r="AJ9" s="275">
        <v>16</v>
      </c>
      <c r="AK9" s="388">
        <v>90</v>
      </c>
      <c r="AL9" s="374">
        <v>0.82051282051282048</v>
      </c>
      <c r="AM9" s="275">
        <v>49</v>
      </c>
      <c r="AN9" s="375">
        <v>273</v>
      </c>
      <c r="AO9" s="361">
        <v>0.8425531914893617</v>
      </c>
      <c r="AP9" s="275">
        <v>37</v>
      </c>
      <c r="AQ9" s="342">
        <v>235</v>
      </c>
    </row>
    <row r="10" spans="1:43" x14ac:dyDescent="0.2">
      <c r="A10" s="37"/>
      <c r="B10" s="308"/>
      <c r="C10" s="404" t="s">
        <v>81</v>
      </c>
      <c r="D10" s="405" t="s">
        <v>160</v>
      </c>
      <c r="E10" s="406">
        <v>7</v>
      </c>
      <c r="F10" s="406">
        <v>67</v>
      </c>
      <c r="G10" s="407">
        <v>0.89552238805970152</v>
      </c>
      <c r="H10" s="37"/>
      <c r="I10" s="404" t="s">
        <v>81</v>
      </c>
      <c r="J10" s="405" t="s">
        <v>160</v>
      </c>
      <c r="K10" s="416">
        <v>13</v>
      </c>
      <c r="L10" s="416">
        <v>527</v>
      </c>
      <c r="M10" s="417">
        <v>0.97533206831119545</v>
      </c>
      <c r="N10" s="306"/>
      <c r="O10" s="37"/>
      <c r="P10" s="308"/>
      <c r="Q10" s="404" t="s">
        <v>81</v>
      </c>
      <c r="R10" s="405" t="s">
        <v>160</v>
      </c>
      <c r="S10" s="416">
        <v>19</v>
      </c>
      <c r="T10" s="416">
        <v>286</v>
      </c>
      <c r="U10" s="417">
        <v>0.93356643356643354</v>
      </c>
      <c r="V10" s="37"/>
      <c r="W10" s="404" t="s">
        <v>81</v>
      </c>
      <c r="X10" s="405" t="s">
        <v>160</v>
      </c>
      <c r="Y10" s="416">
        <v>18</v>
      </c>
      <c r="Z10" s="416">
        <v>257</v>
      </c>
      <c r="AA10" s="417">
        <v>0.92996108949416345</v>
      </c>
      <c r="AB10" s="306"/>
      <c r="AC10" s="37"/>
      <c r="AD10" s="341" t="s">
        <v>48</v>
      </c>
      <c r="AE10" s="274" t="s">
        <v>159</v>
      </c>
      <c r="AF10" s="374">
        <v>0.95238095238095233</v>
      </c>
      <c r="AG10" s="275">
        <v>9</v>
      </c>
      <c r="AH10" s="375">
        <v>189</v>
      </c>
      <c r="AI10" s="361">
        <v>0.87755102040816324</v>
      </c>
      <c r="AJ10" s="275">
        <v>6</v>
      </c>
      <c r="AK10" s="388">
        <v>49</v>
      </c>
      <c r="AL10" s="374">
        <v>0.91983122362869196</v>
      </c>
      <c r="AM10" s="275">
        <v>19</v>
      </c>
      <c r="AN10" s="375">
        <v>237</v>
      </c>
      <c r="AO10" s="361">
        <v>0.88571428571428568</v>
      </c>
      <c r="AP10" s="275">
        <v>28</v>
      </c>
      <c r="AQ10" s="342">
        <v>245</v>
      </c>
    </row>
    <row r="11" spans="1:43" x14ac:dyDescent="0.2">
      <c r="A11" s="37"/>
      <c r="B11" s="308"/>
      <c r="C11" s="404" t="s">
        <v>74</v>
      </c>
      <c r="D11" s="405" t="s">
        <v>161</v>
      </c>
      <c r="E11" s="406">
        <v>6</v>
      </c>
      <c r="F11" s="406">
        <v>47</v>
      </c>
      <c r="G11" s="407">
        <v>0.87234042553191493</v>
      </c>
      <c r="H11" s="37"/>
      <c r="I11" s="404" t="s">
        <v>74</v>
      </c>
      <c r="J11" s="405" t="s">
        <v>161</v>
      </c>
      <c r="K11" s="416">
        <v>15</v>
      </c>
      <c r="L11" s="416">
        <v>206</v>
      </c>
      <c r="M11" s="417">
        <v>0.92718446601941751</v>
      </c>
      <c r="N11" s="306"/>
      <c r="O11" s="37"/>
      <c r="P11" s="308"/>
      <c r="Q11" s="404" t="s">
        <v>74</v>
      </c>
      <c r="R11" s="405" t="s">
        <v>161</v>
      </c>
      <c r="S11" s="416">
        <v>19</v>
      </c>
      <c r="T11" s="416">
        <v>234</v>
      </c>
      <c r="U11" s="417">
        <v>0.91880341880341876</v>
      </c>
      <c r="V11" s="37"/>
      <c r="W11" s="404" t="s">
        <v>74</v>
      </c>
      <c r="X11" s="405" t="s">
        <v>161</v>
      </c>
      <c r="Y11" s="416">
        <v>21</v>
      </c>
      <c r="Z11" s="416">
        <v>230</v>
      </c>
      <c r="AA11" s="417">
        <v>0.90869565217391302</v>
      </c>
      <c r="AB11" s="306"/>
      <c r="AC11" s="37"/>
      <c r="AD11" s="341" t="s">
        <v>33</v>
      </c>
      <c r="AE11" s="274" t="s">
        <v>162</v>
      </c>
      <c r="AF11" s="374">
        <v>0.95394736842105265</v>
      </c>
      <c r="AG11" s="275">
        <v>7</v>
      </c>
      <c r="AH11" s="375">
        <v>152</v>
      </c>
      <c r="AI11" s="361">
        <v>0.89130434782608692</v>
      </c>
      <c r="AJ11" s="275">
        <v>5</v>
      </c>
      <c r="AK11" s="388">
        <v>46</v>
      </c>
      <c r="AL11" s="374">
        <v>0.90756302521008403</v>
      </c>
      <c r="AM11" s="275">
        <v>22</v>
      </c>
      <c r="AN11" s="375">
        <v>238</v>
      </c>
      <c r="AO11" s="361">
        <v>0.89224137931034486</v>
      </c>
      <c r="AP11" s="275">
        <v>25</v>
      </c>
      <c r="AQ11" s="342">
        <v>232</v>
      </c>
    </row>
    <row r="12" spans="1:43" x14ac:dyDescent="0.2">
      <c r="A12" s="37"/>
      <c r="B12" s="308"/>
      <c r="C12" s="404" t="s">
        <v>33</v>
      </c>
      <c r="D12" s="405" t="s">
        <v>162</v>
      </c>
      <c r="E12" s="406">
        <v>5</v>
      </c>
      <c r="F12" s="406">
        <v>46</v>
      </c>
      <c r="G12" s="407">
        <v>0.89130434782608692</v>
      </c>
      <c r="H12" s="37"/>
      <c r="I12" s="404" t="s">
        <v>33</v>
      </c>
      <c r="J12" s="405" t="s">
        <v>162</v>
      </c>
      <c r="K12" s="416">
        <v>7</v>
      </c>
      <c r="L12" s="416">
        <v>152</v>
      </c>
      <c r="M12" s="417">
        <v>0.95394736842105265</v>
      </c>
      <c r="N12" s="306"/>
      <c r="O12" s="37"/>
      <c r="P12" s="308"/>
      <c r="Q12" s="404" t="s">
        <v>33</v>
      </c>
      <c r="R12" s="405" t="s">
        <v>162</v>
      </c>
      <c r="S12" s="416">
        <v>22</v>
      </c>
      <c r="T12" s="416">
        <v>238</v>
      </c>
      <c r="U12" s="417">
        <v>0.90756302521008403</v>
      </c>
      <c r="V12" s="37"/>
      <c r="W12" s="404" t="s">
        <v>33</v>
      </c>
      <c r="X12" s="405" t="s">
        <v>162</v>
      </c>
      <c r="Y12" s="416">
        <v>25</v>
      </c>
      <c r="Z12" s="416">
        <v>232</v>
      </c>
      <c r="AA12" s="417">
        <v>0.89224137931034486</v>
      </c>
      <c r="AB12" s="306"/>
      <c r="AC12" s="37"/>
      <c r="AD12" s="341" t="s">
        <v>51</v>
      </c>
      <c r="AE12" s="274" t="s">
        <v>175</v>
      </c>
      <c r="AF12" s="374">
        <v>0.98395721925133695</v>
      </c>
      <c r="AG12" s="275">
        <v>3</v>
      </c>
      <c r="AH12" s="375">
        <v>187</v>
      </c>
      <c r="AI12" s="361">
        <v>0.9555555555555556</v>
      </c>
      <c r="AJ12" s="275">
        <v>2</v>
      </c>
      <c r="AK12" s="388">
        <v>45</v>
      </c>
      <c r="AL12" s="374">
        <v>0.90557939914163088</v>
      </c>
      <c r="AM12" s="275">
        <v>22</v>
      </c>
      <c r="AN12" s="375">
        <v>233</v>
      </c>
      <c r="AO12" s="361">
        <v>0.93832599118942728</v>
      </c>
      <c r="AP12" s="275">
        <v>14</v>
      </c>
      <c r="AQ12" s="342">
        <v>227</v>
      </c>
    </row>
    <row r="13" spans="1:43" x14ac:dyDescent="0.2">
      <c r="A13" s="37"/>
      <c r="B13" s="308"/>
      <c r="C13" s="404" t="s">
        <v>58</v>
      </c>
      <c r="D13" s="405" t="s">
        <v>163</v>
      </c>
      <c r="E13" s="406">
        <v>4</v>
      </c>
      <c r="F13" s="406">
        <v>42</v>
      </c>
      <c r="G13" s="407">
        <v>0.90476190476190477</v>
      </c>
      <c r="H13" s="37"/>
      <c r="I13" s="404" t="s">
        <v>58</v>
      </c>
      <c r="J13" s="405" t="s">
        <v>163</v>
      </c>
      <c r="K13" s="416">
        <v>6</v>
      </c>
      <c r="L13" s="416">
        <v>202</v>
      </c>
      <c r="M13" s="417">
        <v>0.97029702970297027</v>
      </c>
      <c r="N13" s="306"/>
      <c r="O13" s="37"/>
      <c r="P13" s="308"/>
      <c r="Q13" s="404" t="s">
        <v>58</v>
      </c>
      <c r="R13" s="405" t="s">
        <v>163</v>
      </c>
      <c r="S13" s="416">
        <v>13</v>
      </c>
      <c r="T13" s="416">
        <v>232</v>
      </c>
      <c r="U13" s="417">
        <v>0.94396551724137934</v>
      </c>
      <c r="V13" s="37"/>
      <c r="W13" s="404" t="s">
        <v>58</v>
      </c>
      <c r="X13" s="405" t="s">
        <v>163</v>
      </c>
      <c r="Y13" s="416">
        <v>8</v>
      </c>
      <c r="Z13" s="416">
        <v>237</v>
      </c>
      <c r="AA13" s="417">
        <v>0.96624472573839659</v>
      </c>
      <c r="AB13" s="306"/>
      <c r="AC13" s="37"/>
      <c r="AD13" s="341" t="s">
        <v>55</v>
      </c>
      <c r="AE13" s="274" t="s">
        <v>179</v>
      </c>
      <c r="AF13" s="374">
        <v>0.96254681647940077</v>
      </c>
      <c r="AG13" s="275">
        <v>10</v>
      </c>
      <c r="AH13" s="375">
        <v>267</v>
      </c>
      <c r="AI13" s="361">
        <v>0.88235294117647056</v>
      </c>
      <c r="AJ13" s="275">
        <v>6</v>
      </c>
      <c r="AK13" s="388">
        <v>51</v>
      </c>
      <c r="AL13" s="374">
        <v>0.88934426229508201</v>
      </c>
      <c r="AM13" s="275">
        <v>27</v>
      </c>
      <c r="AN13" s="375">
        <v>244</v>
      </c>
      <c r="AO13" s="361">
        <v>0.90043290043290047</v>
      </c>
      <c r="AP13" s="275">
        <v>23</v>
      </c>
      <c r="AQ13" s="342">
        <v>231</v>
      </c>
    </row>
    <row r="14" spans="1:43" x14ac:dyDescent="0.2">
      <c r="A14" s="37"/>
      <c r="B14" s="308"/>
      <c r="C14" s="404" t="s">
        <v>75</v>
      </c>
      <c r="D14" s="405" t="s">
        <v>164</v>
      </c>
      <c r="E14" s="406">
        <v>7</v>
      </c>
      <c r="F14" s="406">
        <v>56</v>
      </c>
      <c r="G14" s="407">
        <v>0.875</v>
      </c>
      <c r="H14" s="37"/>
      <c r="I14" s="404" t="s">
        <v>75</v>
      </c>
      <c r="J14" s="405" t="s">
        <v>164</v>
      </c>
      <c r="K14" s="416">
        <v>19</v>
      </c>
      <c r="L14" s="416">
        <v>222</v>
      </c>
      <c r="M14" s="417">
        <v>0.9144144144144144</v>
      </c>
      <c r="N14" s="306"/>
      <c r="O14" s="37"/>
      <c r="P14" s="308"/>
      <c r="Q14" s="404" t="s">
        <v>75</v>
      </c>
      <c r="R14" s="405" t="s">
        <v>164</v>
      </c>
      <c r="S14" s="416">
        <v>39</v>
      </c>
      <c r="T14" s="416">
        <v>242</v>
      </c>
      <c r="U14" s="417">
        <v>0.83884297520661155</v>
      </c>
      <c r="V14" s="37"/>
      <c r="W14" s="404" t="s">
        <v>75</v>
      </c>
      <c r="X14" s="405" t="s">
        <v>164</v>
      </c>
      <c r="Y14" s="416">
        <v>38</v>
      </c>
      <c r="Z14" s="416">
        <v>233</v>
      </c>
      <c r="AA14" s="417">
        <v>0.83690987124463523</v>
      </c>
      <c r="AB14" s="306"/>
      <c r="AC14" s="37"/>
      <c r="AD14" s="341" t="s">
        <v>58</v>
      </c>
      <c r="AE14" s="274" t="s">
        <v>163</v>
      </c>
      <c r="AF14" s="374">
        <v>0.97029702970297027</v>
      </c>
      <c r="AG14" s="275">
        <v>6</v>
      </c>
      <c r="AH14" s="375">
        <v>202</v>
      </c>
      <c r="AI14" s="361">
        <v>0.90476190476190477</v>
      </c>
      <c r="AJ14" s="275">
        <v>4</v>
      </c>
      <c r="AK14" s="388">
        <v>42</v>
      </c>
      <c r="AL14" s="374">
        <v>0.94396551724137934</v>
      </c>
      <c r="AM14" s="275">
        <v>13</v>
      </c>
      <c r="AN14" s="375">
        <v>232</v>
      </c>
      <c r="AO14" s="361">
        <v>0.96624472573839659</v>
      </c>
      <c r="AP14" s="275">
        <v>8</v>
      </c>
      <c r="AQ14" s="342">
        <v>237</v>
      </c>
    </row>
    <row r="15" spans="1:43" x14ac:dyDescent="0.2">
      <c r="A15" s="37"/>
      <c r="B15" s="308"/>
      <c r="C15" s="404" t="s">
        <v>77</v>
      </c>
      <c r="D15" s="405" t="s">
        <v>115</v>
      </c>
      <c r="E15" s="406">
        <v>6</v>
      </c>
      <c r="F15" s="406">
        <v>56</v>
      </c>
      <c r="G15" s="407">
        <v>0.8928571428571429</v>
      </c>
      <c r="H15" s="37"/>
      <c r="I15" s="404" t="s">
        <v>77</v>
      </c>
      <c r="J15" s="405" t="s">
        <v>115</v>
      </c>
      <c r="K15" s="416">
        <v>6</v>
      </c>
      <c r="L15" s="416">
        <v>235</v>
      </c>
      <c r="M15" s="417">
        <v>0.97446808510638294</v>
      </c>
      <c r="N15" s="306"/>
      <c r="O15" s="37"/>
      <c r="P15" s="308"/>
      <c r="Q15" s="404" t="s">
        <v>77</v>
      </c>
      <c r="R15" s="405" t="s">
        <v>115</v>
      </c>
      <c r="S15" s="416">
        <v>24</v>
      </c>
      <c r="T15" s="416">
        <v>246</v>
      </c>
      <c r="U15" s="417">
        <v>0.90243902439024393</v>
      </c>
      <c r="V15" s="37"/>
      <c r="W15" s="404" t="s">
        <v>77</v>
      </c>
      <c r="X15" s="405" t="s">
        <v>115</v>
      </c>
      <c r="Y15" s="416">
        <v>23</v>
      </c>
      <c r="Z15" s="416">
        <v>230</v>
      </c>
      <c r="AA15" s="417">
        <v>0.9</v>
      </c>
      <c r="AB15" s="306"/>
      <c r="AC15" s="37"/>
      <c r="AD15" s="341" t="s">
        <v>62</v>
      </c>
      <c r="AE15" s="274" t="s">
        <v>176</v>
      </c>
      <c r="AF15" s="374">
        <v>0.97206703910614523</v>
      </c>
      <c r="AG15" s="275">
        <v>5</v>
      </c>
      <c r="AH15" s="375">
        <v>179</v>
      </c>
      <c r="AI15" s="361">
        <v>0.97872340425531912</v>
      </c>
      <c r="AJ15" s="275">
        <v>1</v>
      </c>
      <c r="AK15" s="388">
        <v>47</v>
      </c>
      <c r="AL15" s="374">
        <v>0.9327731092436975</v>
      </c>
      <c r="AM15" s="275">
        <v>16</v>
      </c>
      <c r="AN15" s="375">
        <v>238</v>
      </c>
      <c r="AO15" s="361">
        <v>0.93227091633466141</v>
      </c>
      <c r="AP15" s="275">
        <v>17</v>
      </c>
      <c r="AQ15" s="342">
        <v>251</v>
      </c>
    </row>
    <row r="16" spans="1:43" x14ac:dyDescent="0.2">
      <c r="A16" s="37"/>
      <c r="B16" s="308"/>
      <c r="C16" s="404" t="s">
        <v>79</v>
      </c>
      <c r="D16" s="405" t="s">
        <v>165</v>
      </c>
      <c r="E16" s="406">
        <v>3</v>
      </c>
      <c r="F16" s="406">
        <v>48</v>
      </c>
      <c r="G16" s="407">
        <v>0.9375</v>
      </c>
      <c r="H16" s="37"/>
      <c r="I16" s="404" t="s">
        <v>79</v>
      </c>
      <c r="J16" s="405" t="s">
        <v>165</v>
      </c>
      <c r="K16" s="416">
        <v>9</v>
      </c>
      <c r="L16" s="416">
        <v>302</v>
      </c>
      <c r="M16" s="417">
        <v>0.9701986754966887</v>
      </c>
      <c r="N16" s="306"/>
      <c r="O16" s="37"/>
      <c r="P16" s="308"/>
      <c r="Q16" s="404" t="s">
        <v>79</v>
      </c>
      <c r="R16" s="405" t="s">
        <v>165</v>
      </c>
      <c r="S16" s="416">
        <v>23</v>
      </c>
      <c r="T16" s="416">
        <v>237</v>
      </c>
      <c r="U16" s="417">
        <v>0.90295358649789026</v>
      </c>
      <c r="V16" s="37"/>
      <c r="W16" s="404" t="s">
        <v>79</v>
      </c>
      <c r="X16" s="405" t="s">
        <v>165</v>
      </c>
      <c r="Y16" s="416">
        <v>21</v>
      </c>
      <c r="Z16" s="416">
        <v>232</v>
      </c>
      <c r="AA16" s="417">
        <v>0.90948275862068961</v>
      </c>
      <c r="AB16" s="306"/>
      <c r="AC16" s="37"/>
      <c r="AD16" s="341" t="s">
        <v>68</v>
      </c>
      <c r="AE16" s="274" t="s">
        <v>201</v>
      </c>
      <c r="AF16" s="374">
        <v>0.92703862660944203</v>
      </c>
      <c r="AG16" s="275">
        <v>17</v>
      </c>
      <c r="AH16" s="375">
        <v>233</v>
      </c>
      <c r="AI16" s="361">
        <v>0.8867924528301887</v>
      </c>
      <c r="AJ16" s="275">
        <v>6</v>
      </c>
      <c r="AK16" s="388">
        <v>53</v>
      </c>
      <c r="AL16" s="374">
        <v>0.91176470588235292</v>
      </c>
      <c r="AM16" s="275">
        <v>21</v>
      </c>
      <c r="AN16" s="375">
        <v>238</v>
      </c>
      <c r="AO16" s="361">
        <v>0.90212765957446805</v>
      </c>
      <c r="AP16" s="275">
        <v>23</v>
      </c>
      <c r="AQ16" s="342">
        <v>235</v>
      </c>
    </row>
    <row r="17" spans="1:43" x14ac:dyDescent="0.2">
      <c r="A17" s="37"/>
      <c r="B17" s="308"/>
      <c r="C17" s="404" t="s">
        <v>46</v>
      </c>
      <c r="D17" s="405" t="s">
        <v>166</v>
      </c>
      <c r="E17" s="406">
        <v>16</v>
      </c>
      <c r="F17" s="406">
        <v>90</v>
      </c>
      <c r="G17" s="407">
        <v>0.82222222222222219</v>
      </c>
      <c r="H17" s="37"/>
      <c r="I17" s="404" t="s">
        <v>46</v>
      </c>
      <c r="J17" s="405" t="s">
        <v>166</v>
      </c>
      <c r="K17" s="416">
        <v>34</v>
      </c>
      <c r="L17" s="416">
        <v>458</v>
      </c>
      <c r="M17" s="417">
        <v>0.92576419213973793</v>
      </c>
      <c r="N17" s="306"/>
      <c r="O17" s="37"/>
      <c r="P17" s="308"/>
      <c r="Q17" s="404" t="s">
        <v>46</v>
      </c>
      <c r="R17" s="405" t="s">
        <v>166</v>
      </c>
      <c r="S17" s="416">
        <v>49</v>
      </c>
      <c r="T17" s="416">
        <v>273</v>
      </c>
      <c r="U17" s="417">
        <v>0.82051282051282048</v>
      </c>
      <c r="V17" s="37"/>
      <c r="W17" s="404" t="s">
        <v>46</v>
      </c>
      <c r="X17" s="405" t="s">
        <v>166</v>
      </c>
      <c r="Y17" s="416">
        <v>37</v>
      </c>
      <c r="Z17" s="416">
        <v>235</v>
      </c>
      <c r="AA17" s="417">
        <v>0.8425531914893617</v>
      </c>
      <c r="AB17" s="306"/>
      <c r="AC17" s="37"/>
      <c r="AD17" s="341" t="s">
        <v>74</v>
      </c>
      <c r="AE17" s="274" t="s">
        <v>161</v>
      </c>
      <c r="AF17" s="374">
        <v>0.92718446601941751</v>
      </c>
      <c r="AG17" s="275">
        <v>15</v>
      </c>
      <c r="AH17" s="375">
        <v>206</v>
      </c>
      <c r="AI17" s="361">
        <v>0.87234042553191493</v>
      </c>
      <c r="AJ17" s="275">
        <v>6</v>
      </c>
      <c r="AK17" s="388">
        <v>47</v>
      </c>
      <c r="AL17" s="374">
        <v>0.91880341880341876</v>
      </c>
      <c r="AM17" s="275">
        <v>19</v>
      </c>
      <c r="AN17" s="375">
        <v>234</v>
      </c>
      <c r="AO17" s="361">
        <v>0.90869565217391302</v>
      </c>
      <c r="AP17" s="275">
        <v>21</v>
      </c>
      <c r="AQ17" s="342">
        <v>230</v>
      </c>
    </row>
    <row r="18" spans="1:43" x14ac:dyDescent="0.2">
      <c r="A18" s="37"/>
      <c r="B18" s="308"/>
      <c r="C18" s="404" t="s">
        <v>83</v>
      </c>
      <c r="D18" s="405" t="s">
        <v>121</v>
      </c>
      <c r="E18" s="406">
        <v>2</v>
      </c>
      <c r="F18" s="406">
        <v>45</v>
      </c>
      <c r="G18" s="407">
        <v>0.9555555555555556</v>
      </c>
      <c r="H18" s="37"/>
      <c r="I18" s="404" t="s">
        <v>83</v>
      </c>
      <c r="J18" s="405" t="s">
        <v>121</v>
      </c>
      <c r="K18" s="416">
        <v>2</v>
      </c>
      <c r="L18" s="416">
        <v>313</v>
      </c>
      <c r="M18" s="417">
        <v>0.99361022364217255</v>
      </c>
      <c r="N18" s="306"/>
      <c r="O18" s="37"/>
      <c r="P18" s="308"/>
      <c r="Q18" s="404" t="s">
        <v>83</v>
      </c>
      <c r="R18" s="405" t="s">
        <v>121</v>
      </c>
      <c r="S18" s="416">
        <v>16</v>
      </c>
      <c r="T18" s="416">
        <v>233</v>
      </c>
      <c r="U18" s="417">
        <v>0.93133047210300424</v>
      </c>
      <c r="V18" s="37"/>
      <c r="W18" s="404" t="s">
        <v>83</v>
      </c>
      <c r="X18" s="405" t="s">
        <v>121</v>
      </c>
      <c r="Y18" s="416">
        <v>9</v>
      </c>
      <c r="Z18" s="416">
        <v>233</v>
      </c>
      <c r="AA18" s="417">
        <v>0.96137339055793991</v>
      </c>
      <c r="AB18" s="306"/>
      <c r="AC18" s="37"/>
      <c r="AD18" s="341" t="s">
        <v>75</v>
      </c>
      <c r="AE18" s="274" t="s">
        <v>164</v>
      </c>
      <c r="AF18" s="374">
        <v>0.9144144144144144</v>
      </c>
      <c r="AG18" s="275">
        <v>19</v>
      </c>
      <c r="AH18" s="375">
        <v>222</v>
      </c>
      <c r="AI18" s="361">
        <v>0.875</v>
      </c>
      <c r="AJ18" s="275">
        <v>7</v>
      </c>
      <c r="AK18" s="388">
        <v>56</v>
      </c>
      <c r="AL18" s="374">
        <v>0.83884297520661155</v>
      </c>
      <c r="AM18" s="275">
        <v>39</v>
      </c>
      <c r="AN18" s="375">
        <v>242</v>
      </c>
      <c r="AO18" s="361">
        <v>0.83690987124463523</v>
      </c>
      <c r="AP18" s="275">
        <v>38</v>
      </c>
      <c r="AQ18" s="342">
        <v>233</v>
      </c>
    </row>
    <row r="19" spans="1:43" x14ac:dyDescent="0.2">
      <c r="A19" s="37"/>
      <c r="B19" s="308"/>
      <c r="C19" s="404" t="s">
        <v>61</v>
      </c>
      <c r="D19" s="405" t="s">
        <v>167</v>
      </c>
      <c r="E19" s="406">
        <v>1</v>
      </c>
      <c r="F19" s="406">
        <v>50</v>
      </c>
      <c r="G19" s="407">
        <v>0.98</v>
      </c>
      <c r="H19" s="37"/>
      <c r="I19" s="404" t="s">
        <v>61</v>
      </c>
      <c r="J19" s="405" t="s">
        <v>167</v>
      </c>
      <c r="K19" s="416">
        <v>2</v>
      </c>
      <c r="L19" s="416">
        <v>233</v>
      </c>
      <c r="M19" s="417">
        <v>0.99141630901287559</v>
      </c>
      <c r="N19" s="306"/>
      <c r="O19" s="37"/>
      <c r="P19" s="308"/>
      <c r="Q19" s="404" t="s">
        <v>61</v>
      </c>
      <c r="R19" s="405" t="s">
        <v>167</v>
      </c>
      <c r="S19" s="416">
        <v>18</v>
      </c>
      <c r="T19" s="416">
        <v>241</v>
      </c>
      <c r="U19" s="417">
        <v>0.92531120331950212</v>
      </c>
      <c r="V19" s="37"/>
      <c r="W19" s="404" t="s">
        <v>61</v>
      </c>
      <c r="X19" s="405" t="s">
        <v>167</v>
      </c>
      <c r="Y19" s="416">
        <v>9</v>
      </c>
      <c r="Z19" s="416">
        <v>233</v>
      </c>
      <c r="AA19" s="417">
        <v>0.96137339055793991</v>
      </c>
      <c r="AB19" s="306"/>
      <c r="AC19" s="37"/>
      <c r="AD19" s="341" t="s">
        <v>244</v>
      </c>
      <c r="AE19" s="274" t="s">
        <v>115</v>
      </c>
      <c r="AF19" s="374">
        <v>0.97446808510638294</v>
      </c>
      <c r="AG19" s="275">
        <v>6</v>
      </c>
      <c r="AH19" s="375">
        <v>235</v>
      </c>
      <c r="AI19" s="361">
        <v>0.8928571428571429</v>
      </c>
      <c r="AJ19" s="275">
        <v>6</v>
      </c>
      <c r="AK19" s="388">
        <v>56</v>
      </c>
      <c r="AL19" s="374">
        <v>0.90243902439024393</v>
      </c>
      <c r="AM19" s="275">
        <v>24</v>
      </c>
      <c r="AN19" s="375">
        <v>246</v>
      </c>
      <c r="AO19" s="361">
        <v>0.9</v>
      </c>
      <c r="AP19" s="275">
        <v>23</v>
      </c>
      <c r="AQ19" s="342">
        <v>230</v>
      </c>
    </row>
    <row r="20" spans="1:43" x14ac:dyDescent="0.2">
      <c r="A20" s="37"/>
      <c r="B20" s="308"/>
      <c r="C20" s="404" t="s">
        <v>34</v>
      </c>
      <c r="D20" s="405" t="s">
        <v>168</v>
      </c>
      <c r="E20" s="406">
        <v>5</v>
      </c>
      <c r="F20" s="406">
        <v>49</v>
      </c>
      <c r="G20" s="407">
        <v>0.89795918367346939</v>
      </c>
      <c r="H20" s="37"/>
      <c r="I20" s="404" t="s">
        <v>34</v>
      </c>
      <c r="J20" s="405" t="s">
        <v>168</v>
      </c>
      <c r="K20" s="418">
        <v>8</v>
      </c>
      <c r="L20" s="418">
        <v>215</v>
      </c>
      <c r="M20" s="419">
        <v>0.96279069767441861</v>
      </c>
      <c r="N20" s="303"/>
      <c r="O20" s="37"/>
      <c r="P20" s="308"/>
      <c r="Q20" s="404" t="s">
        <v>34</v>
      </c>
      <c r="R20" s="405" t="s">
        <v>168</v>
      </c>
      <c r="S20" s="418">
        <v>21</v>
      </c>
      <c r="T20" s="418">
        <v>241</v>
      </c>
      <c r="U20" s="419">
        <v>0.91286307053941906</v>
      </c>
      <c r="V20" s="37"/>
      <c r="W20" s="404" t="s">
        <v>34</v>
      </c>
      <c r="X20" s="405" t="s">
        <v>168</v>
      </c>
      <c r="Y20" s="418">
        <v>40</v>
      </c>
      <c r="Z20" s="418">
        <v>226</v>
      </c>
      <c r="AA20" s="419">
        <v>0.82300884955752207</v>
      </c>
      <c r="AB20" s="303"/>
      <c r="AC20" s="37"/>
      <c r="AD20" s="341" t="s">
        <v>79</v>
      </c>
      <c r="AE20" s="274" t="s">
        <v>165</v>
      </c>
      <c r="AF20" s="374">
        <v>0.9701986754966887</v>
      </c>
      <c r="AG20" s="275">
        <v>9</v>
      </c>
      <c r="AH20" s="375">
        <v>302</v>
      </c>
      <c r="AI20" s="361">
        <v>0.9375</v>
      </c>
      <c r="AJ20" s="275">
        <v>3</v>
      </c>
      <c r="AK20" s="388">
        <v>48</v>
      </c>
      <c r="AL20" s="374">
        <v>0.90295358649789026</v>
      </c>
      <c r="AM20" s="275">
        <v>23</v>
      </c>
      <c r="AN20" s="375">
        <v>237</v>
      </c>
      <c r="AO20" s="361">
        <v>0.90948275862068961</v>
      </c>
      <c r="AP20" s="275">
        <v>21</v>
      </c>
      <c r="AQ20" s="342">
        <v>232</v>
      </c>
    </row>
    <row r="21" spans="1:43" x14ac:dyDescent="0.2">
      <c r="A21" s="37"/>
      <c r="B21" s="308"/>
      <c r="C21" s="404" t="s">
        <v>91</v>
      </c>
      <c r="D21" s="405" t="s">
        <v>169</v>
      </c>
      <c r="E21" s="406">
        <v>6</v>
      </c>
      <c r="F21" s="406">
        <v>42</v>
      </c>
      <c r="G21" s="407">
        <v>0.85714285714285721</v>
      </c>
      <c r="H21" s="37"/>
      <c r="I21" s="404" t="s">
        <v>91</v>
      </c>
      <c r="J21" s="405" t="s">
        <v>169</v>
      </c>
      <c r="K21" s="416">
        <v>13</v>
      </c>
      <c r="L21" s="416">
        <v>137</v>
      </c>
      <c r="M21" s="417">
        <v>0.9051094890510949</v>
      </c>
      <c r="N21" s="306"/>
      <c r="O21" s="37"/>
      <c r="P21" s="308"/>
      <c r="Q21" s="404" t="s">
        <v>91</v>
      </c>
      <c r="R21" s="405" t="s">
        <v>169</v>
      </c>
      <c r="S21" s="416">
        <v>21</v>
      </c>
      <c r="T21" s="416">
        <v>230</v>
      </c>
      <c r="U21" s="417">
        <v>0.90869565217391302</v>
      </c>
      <c r="V21" s="37"/>
      <c r="W21" s="404" t="s">
        <v>91</v>
      </c>
      <c r="X21" s="405" t="s">
        <v>169</v>
      </c>
      <c r="Y21" s="416">
        <v>13</v>
      </c>
      <c r="Z21" s="416">
        <v>238</v>
      </c>
      <c r="AA21" s="417">
        <v>0.94537815126050417</v>
      </c>
      <c r="AB21" s="306"/>
      <c r="AC21" s="37"/>
      <c r="AD21" s="341" t="s">
        <v>81</v>
      </c>
      <c r="AE21" s="274" t="s">
        <v>160</v>
      </c>
      <c r="AF21" s="374">
        <v>0.97533206831119545</v>
      </c>
      <c r="AG21" s="275">
        <v>13</v>
      </c>
      <c r="AH21" s="375">
        <v>527</v>
      </c>
      <c r="AI21" s="361">
        <v>0.89552238805970152</v>
      </c>
      <c r="AJ21" s="275">
        <v>7</v>
      </c>
      <c r="AK21" s="388">
        <v>67</v>
      </c>
      <c r="AL21" s="374">
        <v>0.93356643356643354</v>
      </c>
      <c r="AM21" s="275">
        <v>19</v>
      </c>
      <c r="AN21" s="375">
        <v>286</v>
      </c>
      <c r="AO21" s="361">
        <v>0.92996108949416345</v>
      </c>
      <c r="AP21" s="275">
        <v>18</v>
      </c>
      <c r="AQ21" s="342">
        <v>257</v>
      </c>
    </row>
    <row r="22" spans="1:43" x14ac:dyDescent="0.2">
      <c r="A22" s="37"/>
      <c r="B22" s="308"/>
      <c r="C22" s="404" t="s">
        <v>97</v>
      </c>
      <c r="D22" s="405" t="s">
        <v>170</v>
      </c>
      <c r="E22" s="406">
        <v>8</v>
      </c>
      <c r="F22" s="406">
        <v>53</v>
      </c>
      <c r="G22" s="407">
        <v>0.84905660377358494</v>
      </c>
      <c r="H22" s="37"/>
      <c r="I22" s="404" t="s">
        <v>97</v>
      </c>
      <c r="J22" s="405" t="s">
        <v>170</v>
      </c>
      <c r="K22" s="416">
        <v>14</v>
      </c>
      <c r="L22" s="416">
        <v>447</v>
      </c>
      <c r="M22" s="417">
        <v>0.96868008948545858</v>
      </c>
      <c r="N22" s="306"/>
      <c r="O22" s="37"/>
      <c r="P22" s="308"/>
      <c r="Q22" s="404" t="s">
        <v>97</v>
      </c>
      <c r="R22" s="405" t="s">
        <v>170</v>
      </c>
      <c r="S22" s="416">
        <v>28</v>
      </c>
      <c r="T22" s="416">
        <v>245</v>
      </c>
      <c r="U22" s="417">
        <v>0.88571428571428568</v>
      </c>
      <c r="V22" s="37"/>
      <c r="W22" s="404" t="s">
        <v>97</v>
      </c>
      <c r="X22" s="405" t="s">
        <v>170</v>
      </c>
      <c r="Y22" s="416">
        <v>23</v>
      </c>
      <c r="Z22" s="416">
        <v>229</v>
      </c>
      <c r="AA22" s="417">
        <v>0.89956331877729256</v>
      </c>
      <c r="AB22" s="306"/>
      <c r="AC22" s="37"/>
      <c r="AD22" s="343" t="s">
        <v>92</v>
      </c>
      <c r="AE22" s="274" t="s">
        <v>203</v>
      </c>
      <c r="AF22" s="374">
        <v>0.93203883495145634</v>
      </c>
      <c r="AG22" s="275">
        <v>14</v>
      </c>
      <c r="AH22" s="375">
        <v>206</v>
      </c>
      <c r="AI22" s="361">
        <v>0.83720930232558133</v>
      </c>
      <c r="AJ22" s="275">
        <v>7</v>
      </c>
      <c r="AK22" s="388">
        <v>43</v>
      </c>
      <c r="AL22" s="374">
        <v>0.91845493562231761</v>
      </c>
      <c r="AM22" s="275">
        <v>19</v>
      </c>
      <c r="AN22" s="375">
        <v>233</v>
      </c>
      <c r="AO22" s="361">
        <v>0.97489539748953979</v>
      </c>
      <c r="AP22" s="275">
        <v>6</v>
      </c>
      <c r="AQ22" s="342">
        <v>239</v>
      </c>
    </row>
    <row r="23" spans="1:43" x14ac:dyDescent="0.2">
      <c r="A23" s="37"/>
      <c r="B23" s="308"/>
      <c r="C23" s="404" t="s">
        <v>52</v>
      </c>
      <c r="D23" s="405" t="s">
        <v>171</v>
      </c>
      <c r="E23" s="406">
        <v>3</v>
      </c>
      <c r="F23" s="406">
        <v>41</v>
      </c>
      <c r="G23" s="407">
        <v>0.92682926829268297</v>
      </c>
      <c r="H23" s="37"/>
      <c r="I23" s="404" t="s">
        <v>52</v>
      </c>
      <c r="J23" s="405" t="s">
        <v>171</v>
      </c>
      <c r="K23" s="416">
        <v>4</v>
      </c>
      <c r="L23" s="416">
        <v>200</v>
      </c>
      <c r="M23" s="417">
        <v>0.98</v>
      </c>
      <c r="N23" s="306"/>
      <c r="O23" s="37"/>
      <c r="P23" s="308"/>
      <c r="Q23" s="404" t="s">
        <v>52</v>
      </c>
      <c r="R23" s="405" t="s">
        <v>171</v>
      </c>
      <c r="S23" s="416">
        <v>14</v>
      </c>
      <c r="T23" s="416">
        <v>231</v>
      </c>
      <c r="U23" s="417">
        <v>0.93939393939393945</v>
      </c>
      <c r="V23" s="37"/>
      <c r="W23" s="404" t="s">
        <v>52</v>
      </c>
      <c r="X23" s="405" t="s">
        <v>171</v>
      </c>
      <c r="Y23" s="416">
        <v>11</v>
      </c>
      <c r="Z23" s="416">
        <v>237</v>
      </c>
      <c r="AA23" s="417">
        <v>0.95358649789029537</v>
      </c>
      <c r="AB23" s="306"/>
      <c r="AC23" s="37"/>
      <c r="AD23" s="341" t="s">
        <v>256</v>
      </c>
      <c r="AE23" s="274" t="s">
        <v>105</v>
      </c>
      <c r="AF23" s="374">
        <v>0.95510204081632655</v>
      </c>
      <c r="AG23" s="275">
        <v>11</v>
      </c>
      <c r="AH23" s="375">
        <v>245</v>
      </c>
      <c r="AI23" s="361">
        <v>0.83636363636363642</v>
      </c>
      <c r="AJ23" s="275">
        <v>9</v>
      </c>
      <c r="AK23" s="388">
        <v>55</v>
      </c>
      <c r="AL23" s="374">
        <v>0.86497890295358648</v>
      </c>
      <c r="AM23" s="275">
        <v>32</v>
      </c>
      <c r="AN23" s="375">
        <v>237</v>
      </c>
      <c r="AO23" s="361">
        <v>0.8347457627118644</v>
      </c>
      <c r="AP23" s="275">
        <v>39</v>
      </c>
      <c r="AQ23" s="342">
        <v>236</v>
      </c>
    </row>
    <row r="24" spans="1:43" ht="13.5" thickBot="1" x14ac:dyDescent="0.25">
      <c r="A24" s="37"/>
      <c r="B24" s="308"/>
      <c r="C24" s="404" t="s">
        <v>72</v>
      </c>
      <c r="D24" s="405" t="s">
        <v>107</v>
      </c>
      <c r="E24" s="406">
        <v>4</v>
      </c>
      <c r="F24" s="406">
        <v>41</v>
      </c>
      <c r="G24" s="407">
        <v>0.90243902439024393</v>
      </c>
      <c r="H24" s="37"/>
      <c r="I24" s="404" t="s">
        <v>72</v>
      </c>
      <c r="J24" s="405" t="s">
        <v>107</v>
      </c>
      <c r="K24" s="416">
        <v>8</v>
      </c>
      <c r="L24" s="416">
        <v>254</v>
      </c>
      <c r="M24" s="417">
        <v>0.96850393700787407</v>
      </c>
      <c r="N24" s="306"/>
      <c r="O24" s="37"/>
      <c r="P24" s="308"/>
      <c r="Q24" s="404" t="s">
        <v>72</v>
      </c>
      <c r="R24" s="405" t="s">
        <v>107</v>
      </c>
      <c r="S24" s="416">
        <v>24</v>
      </c>
      <c r="T24" s="416">
        <v>229</v>
      </c>
      <c r="U24" s="417">
        <v>0.89519650655021832</v>
      </c>
      <c r="V24" s="37"/>
      <c r="W24" s="404" t="s">
        <v>72</v>
      </c>
      <c r="X24" s="405" t="s">
        <v>107</v>
      </c>
      <c r="Y24" s="416">
        <v>8</v>
      </c>
      <c r="Z24" s="416">
        <v>226</v>
      </c>
      <c r="AA24" s="417">
        <v>0.96460176991150437</v>
      </c>
      <c r="AB24" s="306"/>
      <c r="AC24" s="37"/>
      <c r="AD24" s="344" t="s">
        <v>96</v>
      </c>
      <c r="AE24" s="276" t="s">
        <v>212</v>
      </c>
      <c r="AF24" s="376">
        <v>0.94273127753303965</v>
      </c>
      <c r="AG24" s="277">
        <v>13</v>
      </c>
      <c r="AH24" s="377">
        <v>227</v>
      </c>
      <c r="AI24" s="362">
        <v>0.84905660377358494</v>
      </c>
      <c r="AJ24" s="277">
        <v>8</v>
      </c>
      <c r="AK24" s="389">
        <v>53</v>
      </c>
      <c r="AL24" s="376">
        <v>0.87916666666666665</v>
      </c>
      <c r="AM24" s="277">
        <v>29</v>
      </c>
      <c r="AN24" s="377">
        <v>240</v>
      </c>
      <c r="AO24" s="362">
        <v>0.93457943925233644</v>
      </c>
      <c r="AP24" s="277">
        <v>14</v>
      </c>
      <c r="AQ24" s="345">
        <v>214</v>
      </c>
    </row>
    <row r="25" spans="1:43" x14ac:dyDescent="0.2">
      <c r="A25" s="37"/>
      <c r="B25" s="308"/>
      <c r="C25" s="404" t="s">
        <v>73</v>
      </c>
      <c r="D25" s="405" t="s">
        <v>172</v>
      </c>
      <c r="E25" s="406">
        <v>4</v>
      </c>
      <c r="F25" s="406">
        <v>47</v>
      </c>
      <c r="G25" s="407">
        <v>0.91489361702127658</v>
      </c>
      <c r="H25" s="37"/>
      <c r="I25" s="404" t="s">
        <v>73</v>
      </c>
      <c r="J25" s="405" t="s">
        <v>172</v>
      </c>
      <c r="K25" s="416">
        <v>5</v>
      </c>
      <c r="L25" s="416">
        <v>188</v>
      </c>
      <c r="M25" s="417">
        <v>0.97340425531914898</v>
      </c>
      <c r="N25" s="306"/>
      <c r="O25" s="37"/>
      <c r="P25" s="308"/>
      <c r="Q25" s="404" t="s">
        <v>73</v>
      </c>
      <c r="R25" s="405" t="s">
        <v>172</v>
      </c>
      <c r="S25" s="416">
        <v>19</v>
      </c>
      <c r="T25" s="416">
        <v>236</v>
      </c>
      <c r="U25" s="417">
        <v>0.91949152542372881</v>
      </c>
      <c r="V25" s="37"/>
      <c r="W25" s="404" t="s">
        <v>73</v>
      </c>
      <c r="X25" s="405" t="s">
        <v>172</v>
      </c>
      <c r="Y25" s="416">
        <v>16</v>
      </c>
      <c r="Z25" s="416">
        <v>239</v>
      </c>
      <c r="AA25" s="417">
        <v>0.93305439330543938</v>
      </c>
      <c r="AB25" s="306"/>
      <c r="AC25" s="37"/>
      <c r="AD25" s="339" t="s">
        <v>20</v>
      </c>
      <c r="AE25" s="272"/>
      <c r="AF25" s="372">
        <v>0.96674140508221229</v>
      </c>
      <c r="AG25" s="273">
        <v>89</v>
      </c>
      <c r="AH25" s="373">
        <v>2676</v>
      </c>
      <c r="AI25" s="360">
        <v>0.9061302681992337</v>
      </c>
      <c r="AJ25" s="273">
        <v>49</v>
      </c>
      <c r="AK25" s="387">
        <v>522</v>
      </c>
      <c r="AL25" s="372">
        <v>0.90867229470452804</v>
      </c>
      <c r="AM25" s="273">
        <v>238</v>
      </c>
      <c r="AN25" s="373">
        <v>2606</v>
      </c>
      <c r="AO25" s="360">
        <v>0.91259842519685042</v>
      </c>
      <c r="AP25" s="273">
        <v>222</v>
      </c>
      <c r="AQ25" s="340">
        <v>2540</v>
      </c>
    </row>
    <row r="26" spans="1:43" x14ac:dyDescent="0.2">
      <c r="A26" s="37"/>
      <c r="B26" s="308"/>
      <c r="C26" s="404" t="s">
        <v>71</v>
      </c>
      <c r="D26" s="405" t="s">
        <v>173</v>
      </c>
      <c r="E26" s="406">
        <v>5</v>
      </c>
      <c r="F26" s="406">
        <v>52</v>
      </c>
      <c r="G26" s="407">
        <v>0.90384615384615385</v>
      </c>
      <c r="H26" s="37"/>
      <c r="I26" s="404" t="s">
        <v>71</v>
      </c>
      <c r="J26" s="405" t="s">
        <v>173</v>
      </c>
      <c r="K26" s="416">
        <v>10</v>
      </c>
      <c r="L26" s="416">
        <v>185</v>
      </c>
      <c r="M26" s="417">
        <v>0.94594594594594594</v>
      </c>
      <c r="N26" s="306"/>
      <c r="O26" s="37"/>
      <c r="P26" s="308"/>
      <c r="Q26" s="404" t="s">
        <v>71</v>
      </c>
      <c r="R26" s="405" t="s">
        <v>173</v>
      </c>
      <c r="S26" s="416">
        <v>26</v>
      </c>
      <c r="T26" s="416">
        <v>238</v>
      </c>
      <c r="U26" s="417">
        <v>0.89075630252100835</v>
      </c>
      <c r="V26" s="37"/>
      <c r="W26" s="404" t="s">
        <v>71</v>
      </c>
      <c r="X26" s="405" t="s">
        <v>173</v>
      </c>
      <c r="Y26" s="416">
        <v>18</v>
      </c>
      <c r="Z26" s="416">
        <v>215</v>
      </c>
      <c r="AA26" s="417">
        <v>0.91627906976744189</v>
      </c>
      <c r="AB26" s="306"/>
      <c r="AC26" s="37"/>
      <c r="AD26" s="341" t="s">
        <v>34</v>
      </c>
      <c r="AE26" s="274" t="s">
        <v>168</v>
      </c>
      <c r="AF26" s="374">
        <v>0.96279069767441861</v>
      </c>
      <c r="AG26" s="275">
        <v>8</v>
      </c>
      <c r="AH26" s="375">
        <v>215</v>
      </c>
      <c r="AI26" s="361">
        <v>0.89795918367346939</v>
      </c>
      <c r="AJ26" s="275">
        <v>5</v>
      </c>
      <c r="AK26" s="388">
        <v>49</v>
      </c>
      <c r="AL26" s="374">
        <v>0.91286307053941906</v>
      </c>
      <c r="AM26" s="275">
        <v>21</v>
      </c>
      <c r="AN26" s="375">
        <v>241</v>
      </c>
      <c r="AO26" s="361">
        <v>0.82300884955752207</v>
      </c>
      <c r="AP26" s="275">
        <v>40</v>
      </c>
      <c r="AQ26" s="342">
        <v>226</v>
      </c>
    </row>
    <row r="27" spans="1:43" x14ac:dyDescent="0.2">
      <c r="A27" s="37"/>
      <c r="B27" s="308"/>
      <c r="C27" s="404" t="s">
        <v>63</v>
      </c>
      <c r="D27" s="405" t="s">
        <v>174</v>
      </c>
      <c r="E27" s="406">
        <v>3</v>
      </c>
      <c r="F27" s="406">
        <v>53</v>
      </c>
      <c r="G27" s="407">
        <v>0.94339622641509435</v>
      </c>
      <c r="H27" s="37"/>
      <c r="I27" s="404" t="s">
        <v>63</v>
      </c>
      <c r="J27" s="405" t="s">
        <v>174</v>
      </c>
      <c r="K27" s="416">
        <v>4</v>
      </c>
      <c r="L27" s="416">
        <v>272</v>
      </c>
      <c r="M27" s="417">
        <v>0.98529411764705888</v>
      </c>
      <c r="N27" s="306"/>
      <c r="O27" s="37"/>
      <c r="P27" s="308"/>
      <c r="Q27" s="404" t="s">
        <v>63</v>
      </c>
      <c r="R27" s="405" t="s">
        <v>174</v>
      </c>
      <c r="S27" s="416">
        <v>17</v>
      </c>
      <c r="T27" s="416">
        <v>241</v>
      </c>
      <c r="U27" s="417">
        <v>0.9294605809128631</v>
      </c>
      <c r="V27" s="37"/>
      <c r="W27" s="404" t="s">
        <v>63</v>
      </c>
      <c r="X27" s="405" t="s">
        <v>174</v>
      </c>
      <c r="Y27" s="416">
        <v>34</v>
      </c>
      <c r="Z27" s="416">
        <v>244</v>
      </c>
      <c r="AA27" s="417">
        <v>0.86065573770491799</v>
      </c>
      <c r="AB27" s="306"/>
      <c r="AC27" s="37"/>
      <c r="AD27" s="341" t="s">
        <v>52</v>
      </c>
      <c r="AE27" s="274" t="s">
        <v>171</v>
      </c>
      <c r="AF27" s="374">
        <v>0.98</v>
      </c>
      <c r="AG27" s="275">
        <v>4</v>
      </c>
      <c r="AH27" s="375">
        <v>200</v>
      </c>
      <c r="AI27" s="361">
        <v>0.92682926829268297</v>
      </c>
      <c r="AJ27" s="275">
        <v>3</v>
      </c>
      <c r="AK27" s="388">
        <v>41</v>
      </c>
      <c r="AL27" s="374">
        <v>0.93939393939393945</v>
      </c>
      <c r="AM27" s="275">
        <v>14</v>
      </c>
      <c r="AN27" s="375">
        <v>231</v>
      </c>
      <c r="AO27" s="361">
        <v>0.95358649789029537</v>
      </c>
      <c r="AP27" s="275">
        <v>11</v>
      </c>
      <c r="AQ27" s="342">
        <v>237</v>
      </c>
    </row>
    <row r="28" spans="1:43" x14ac:dyDescent="0.2">
      <c r="A28" s="37"/>
      <c r="B28" s="308"/>
      <c r="C28" s="404" t="s">
        <v>51</v>
      </c>
      <c r="D28" s="405" t="s">
        <v>175</v>
      </c>
      <c r="E28" s="406">
        <v>2</v>
      </c>
      <c r="F28" s="406">
        <v>45</v>
      </c>
      <c r="G28" s="407">
        <v>0.9555555555555556</v>
      </c>
      <c r="H28" s="37"/>
      <c r="I28" s="404" t="s">
        <v>51</v>
      </c>
      <c r="J28" s="405" t="s">
        <v>175</v>
      </c>
      <c r="K28" s="416">
        <v>3</v>
      </c>
      <c r="L28" s="416">
        <v>187</v>
      </c>
      <c r="M28" s="417">
        <v>0.98395721925133695</v>
      </c>
      <c r="N28" s="306"/>
      <c r="O28" s="37"/>
      <c r="P28" s="308"/>
      <c r="Q28" s="404" t="s">
        <v>51</v>
      </c>
      <c r="R28" s="405" t="s">
        <v>175</v>
      </c>
      <c r="S28" s="416">
        <v>22</v>
      </c>
      <c r="T28" s="416">
        <v>233</v>
      </c>
      <c r="U28" s="417">
        <v>0.90557939914163088</v>
      </c>
      <c r="V28" s="37"/>
      <c r="W28" s="404" t="s">
        <v>51</v>
      </c>
      <c r="X28" s="405" t="s">
        <v>175</v>
      </c>
      <c r="Y28" s="416">
        <v>14</v>
      </c>
      <c r="Z28" s="416">
        <v>227</v>
      </c>
      <c r="AA28" s="417">
        <v>0.93832599118942728</v>
      </c>
      <c r="AB28" s="306"/>
      <c r="AC28" s="37"/>
      <c r="AD28" s="341" t="s">
        <v>61</v>
      </c>
      <c r="AE28" s="274" t="s">
        <v>167</v>
      </c>
      <c r="AF28" s="374">
        <v>0.99141630901287559</v>
      </c>
      <c r="AG28" s="275">
        <v>2</v>
      </c>
      <c r="AH28" s="375">
        <v>233</v>
      </c>
      <c r="AI28" s="361">
        <v>0.98</v>
      </c>
      <c r="AJ28" s="275">
        <v>1</v>
      </c>
      <c r="AK28" s="388">
        <v>50</v>
      </c>
      <c r="AL28" s="374">
        <v>0.92531120331950212</v>
      </c>
      <c r="AM28" s="275">
        <v>18</v>
      </c>
      <c r="AN28" s="375">
        <v>241</v>
      </c>
      <c r="AO28" s="361">
        <v>0.96137339055793991</v>
      </c>
      <c r="AP28" s="275">
        <v>9</v>
      </c>
      <c r="AQ28" s="342">
        <v>233</v>
      </c>
    </row>
    <row r="29" spans="1:43" x14ac:dyDescent="0.2">
      <c r="A29" s="37"/>
      <c r="B29" s="308"/>
      <c r="C29" s="404" t="s">
        <v>62</v>
      </c>
      <c r="D29" s="405" t="s">
        <v>176</v>
      </c>
      <c r="E29" s="406">
        <v>1</v>
      </c>
      <c r="F29" s="406">
        <v>47</v>
      </c>
      <c r="G29" s="407">
        <v>0.97872340425531912</v>
      </c>
      <c r="H29" s="37"/>
      <c r="I29" s="404" t="s">
        <v>62</v>
      </c>
      <c r="J29" s="405" t="s">
        <v>176</v>
      </c>
      <c r="K29" s="416">
        <v>5</v>
      </c>
      <c r="L29" s="416">
        <v>179</v>
      </c>
      <c r="M29" s="417">
        <v>0.97206703910614523</v>
      </c>
      <c r="N29" s="306"/>
      <c r="O29" s="37"/>
      <c r="P29" s="308"/>
      <c r="Q29" s="404" t="s">
        <v>62</v>
      </c>
      <c r="R29" s="405" t="s">
        <v>176</v>
      </c>
      <c r="S29" s="416">
        <v>16</v>
      </c>
      <c r="T29" s="416">
        <v>238</v>
      </c>
      <c r="U29" s="417">
        <v>0.9327731092436975</v>
      </c>
      <c r="V29" s="37"/>
      <c r="W29" s="404" t="s">
        <v>62</v>
      </c>
      <c r="X29" s="405" t="s">
        <v>176</v>
      </c>
      <c r="Y29" s="416">
        <v>17</v>
      </c>
      <c r="Z29" s="416">
        <v>251</v>
      </c>
      <c r="AA29" s="417">
        <v>0.93227091633466141</v>
      </c>
      <c r="AB29" s="306"/>
      <c r="AC29" s="37"/>
      <c r="AD29" s="341" t="s">
        <v>63</v>
      </c>
      <c r="AE29" s="274" t="s">
        <v>174</v>
      </c>
      <c r="AF29" s="374">
        <v>0.98529411764705888</v>
      </c>
      <c r="AG29" s="275">
        <v>4</v>
      </c>
      <c r="AH29" s="375">
        <v>272</v>
      </c>
      <c r="AI29" s="361">
        <v>0.94339622641509435</v>
      </c>
      <c r="AJ29" s="275">
        <v>3</v>
      </c>
      <c r="AK29" s="388">
        <v>53</v>
      </c>
      <c r="AL29" s="374">
        <v>0.9294605809128631</v>
      </c>
      <c r="AM29" s="275">
        <v>17</v>
      </c>
      <c r="AN29" s="375">
        <v>241</v>
      </c>
      <c r="AO29" s="361">
        <v>0.86065573770491799</v>
      </c>
      <c r="AP29" s="275">
        <v>34</v>
      </c>
      <c r="AQ29" s="342">
        <v>244</v>
      </c>
    </row>
    <row r="30" spans="1:43" x14ac:dyDescent="0.2">
      <c r="A30" s="37"/>
      <c r="B30" s="308"/>
      <c r="C30" s="404" t="s">
        <v>67</v>
      </c>
      <c r="D30" s="405" t="s">
        <v>177</v>
      </c>
      <c r="E30" s="406">
        <v>6</v>
      </c>
      <c r="F30" s="406">
        <v>46</v>
      </c>
      <c r="G30" s="407">
        <v>0.86956521739130432</v>
      </c>
      <c r="H30" s="37"/>
      <c r="I30" s="404" t="s">
        <v>67</v>
      </c>
      <c r="J30" s="405" t="s">
        <v>177</v>
      </c>
      <c r="K30" s="416">
        <v>9</v>
      </c>
      <c r="L30" s="416">
        <v>159</v>
      </c>
      <c r="M30" s="417">
        <v>0.94339622641509435</v>
      </c>
      <c r="N30" s="306"/>
      <c r="O30" s="37"/>
      <c r="P30" s="308"/>
      <c r="Q30" s="404" t="s">
        <v>67</v>
      </c>
      <c r="R30" s="405" t="s">
        <v>177</v>
      </c>
      <c r="S30" s="416">
        <v>27</v>
      </c>
      <c r="T30" s="416">
        <v>237</v>
      </c>
      <c r="U30" s="417">
        <v>0.88607594936708867</v>
      </c>
      <c r="V30" s="37"/>
      <c r="W30" s="404" t="s">
        <v>67</v>
      </c>
      <c r="X30" s="405" t="s">
        <v>177</v>
      </c>
      <c r="Y30" s="416">
        <v>29</v>
      </c>
      <c r="Z30" s="416">
        <v>231</v>
      </c>
      <c r="AA30" s="417">
        <v>0.87445887445887449</v>
      </c>
      <c r="AB30" s="306"/>
      <c r="AC30" s="37"/>
      <c r="AD30" s="341" t="s">
        <v>67</v>
      </c>
      <c r="AE30" s="274" t="s">
        <v>177</v>
      </c>
      <c r="AF30" s="374">
        <v>0.94339622641509435</v>
      </c>
      <c r="AG30" s="275">
        <v>9</v>
      </c>
      <c r="AH30" s="375">
        <v>159</v>
      </c>
      <c r="AI30" s="361">
        <v>0.86956521739130432</v>
      </c>
      <c r="AJ30" s="275">
        <v>6</v>
      </c>
      <c r="AK30" s="388">
        <v>46</v>
      </c>
      <c r="AL30" s="374">
        <v>0.88607594936708867</v>
      </c>
      <c r="AM30" s="275">
        <v>27</v>
      </c>
      <c r="AN30" s="375">
        <v>237</v>
      </c>
      <c r="AO30" s="361">
        <v>0.87445887445887449</v>
      </c>
      <c r="AP30" s="275">
        <v>29</v>
      </c>
      <c r="AQ30" s="342">
        <v>231</v>
      </c>
    </row>
    <row r="31" spans="1:43" x14ac:dyDescent="0.2">
      <c r="A31" s="37"/>
      <c r="B31" s="308"/>
      <c r="C31" s="404" t="s">
        <v>50</v>
      </c>
      <c r="D31" s="405" t="s">
        <v>178</v>
      </c>
      <c r="E31" s="406">
        <v>4</v>
      </c>
      <c r="F31" s="406">
        <v>45</v>
      </c>
      <c r="G31" s="407">
        <v>0.91111111111111109</v>
      </c>
      <c r="H31" s="37"/>
      <c r="I31" s="404" t="s">
        <v>50</v>
      </c>
      <c r="J31" s="405" t="s">
        <v>178</v>
      </c>
      <c r="K31" s="416">
        <v>7</v>
      </c>
      <c r="L31" s="416">
        <v>154</v>
      </c>
      <c r="M31" s="417">
        <v>0.95454545454545459</v>
      </c>
      <c r="N31" s="306"/>
      <c r="O31" s="37"/>
      <c r="P31" s="308"/>
      <c r="Q31" s="404" t="s">
        <v>50</v>
      </c>
      <c r="R31" s="405" t="s">
        <v>178</v>
      </c>
      <c r="S31" s="416">
        <v>21</v>
      </c>
      <c r="T31" s="416">
        <v>230</v>
      </c>
      <c r="U31" s="417">
        <v>0.90869565217391302</v>
      </c>
      <c r="V31" s="37"/>
      <c r="W31" s="404" t="s">
        <v>50</v>
      </c>
      <c r="X31" s="405" t="s">
        <v>178</v>
      </c>
      <c r="Y31" s="416">
        <v>21</v>
      </c>
      <c r="Z31" s="416">
        <v>215</v>
      </c>
      <c r="AA31" s="417">
        <v>0.9023255813953488</v>
      </c>
      <c r="AB31" s="306"/>
      <c r="AC31" s="37"/>
      <c r="AD31" s="341" t="s">
        <v>71</v>
      </c>
      <c r="AE31" s="274" t="s">
        <v>173</v>
      </c>
      <c r="AF31" s="374">
        <v>0.94594594594594594</v>
      </c>
      <c r="AG31" s="275">
        <v>10</v>
      </c>
      <c r="AH31" s="375">
        <v>185</v>
      </c>
      <c r="AI31" s="361">
        <v>0.90384615384615385</v>
      </c>
      <c r="AJ31" s="275">
        <v>5</v>
      </c>
      <c r="AK31" s="388">
        <v>52</v>
      </c>
      <c r="AL31" s="374">
        <v>0.89075630252100835</v>
      </c>
      <c r="AM31" s="275">
        <v>26</v>
      </c>
      <c r="AN31" s="375">
        <v>238</v>
      </c>
      <c r="AO31" s="361">
        <v>0.91627906976744189</v>
      </c>
      <c r="AP31" s="275">
        <v>18</v>
      </c>
      <c r="AQ31" s="342">
        <v>215</v>
      </c>
    </row>
    <row r="32" spans="1:43" x14ac:dyDescent="0.2">
      <c r="A32" s="37"/>
      <c r="B32" s="308"/>
      <c r="C32" s="404" t="s">
        <v>55</v>
      </c>
      <c r="D32" s="405" t="s">
        <v>179</v>
      </c>
      <c r="E32" s="406">
        <v>6</v>
      </c>
      <c r="F32" s="406">
        <v>51</v>
      </c>
      <c r="G32" s="407">
        <v>0.88235294117647056</v>
      </c>
      <c r="H32" s="37"/>
      <c r="I32" s="404" t="s">
        <v>55</v>
      </c>
      <c r="J32" s="405" t="s">
        <v>179</v>
      </c>
      <c r="K32" s="416">
        <v>10</v>
      </c>
      <c r="L32" s="416">
        <v>267</v>
      </c>
      <c r="M32" s="417">
        <v>0.96254681647940077</v>
      </c>
      <c r="N32" s="306"/>
      <c r="O32" s="37"/>
      <c r="P32" s="308"/>
      <c r="Q32" s="404" t="s">
        <v>55</v>
      </c>
      <c r="R32" s="405" t="s">
        <v>179</v>
      </c>
      <c r="S32" s="416">
        <v>27</v>
      </c>
      <c r="T32" s="416">
        <v>244</v>
      </c>
      <c r="U32" s="417">
        <v>0.88934426229508201</v>
      </c>
      <c r="V32" s="37"/>
      <c r="W32" s="404" t="s">
        <v>55</v>
      </c>
      <c r="X32" s="405" t="s">
        <v>179</v>
      </c>
      <c r="Y32" s="416">
        <v>23</v>
      </c>
      <c r="Z32" s="416">
        <v>231</v>
      </c>
      <c r="AA32" s="417">
        <v>0.90043290043290047</v>
      </c>
      <c r="AB32" s="306"/>
      <c r="AC32" s="37"/>
      <c r="AD32" s="341" t="s">
        <v>72</v>
      </c>
      <c r="AE32" s="274" t="s">
        <v>107</v>
      </c>
      <c r="AF32" s="374">
        <v>0.96850393700787407</v>
      </c>
      <c r="AG32" s="275">
        <v>8</v>
      </c>
      <c r="AH32" s="375">
        <v>254</v>
      </c>
      <c r="AI32" s="361">
        <v>0.90243902439024393</v>
      </c>
      <c r="AJ32" s="275">
        <v>4</v>
      </c>
      <c r="AK32" s="388">
        <v>41</v>
      </c>
      <c r="AL32" s="374">
        <v>0.89519650655021832</v>
      </c>
      <c r="AM32" s="275">
        <v>24</v>
      </c>
      <c r="AN32" s="375">
        <v>229</v>
      </c>
      <c r="AO32" s="361">
        <v>0.96460176991150437</v>
      </c>
      <c r="AP32" s="275">
        <v>8</v>
      </c>
      <c r="AQ32" s="342">
        <v>226</v>
      </c>
    </row>
    <row r="33" spans="1:43" x14ac:dyDescent="0.2">
      <c r="A33" s="37"/>
      <c r="B33" s="308"/>
      <c r="C33" s="404" t="s">
        <v>70</v>
      </c>
      <c r="D33" s="405" t="s">
        <v>180</v>
      </c>
      <c r="E33" s="406">
        <v>2</v>
      </c>
      <c r="F33" s="406">
        <v>45</v>
      </c>
      <c r="G33" s="407">
        <v>0.9555555555555556</v>
      </c>
      <c r="H33" s="37"/>
      <c r="I33" s="404" t="s">
        <v>70</v>
      </c>
      <c r="J33" s="405" t="s">
        <v>180</v>
      </c>
      <c r="K33" s="416">
        <v>4</v>
      </c>
      <c r="L33" s="416">
        <v>157</v>
      </c>
      <c r="M33" s="417">
        <v>0.97452229299363058</v>
      </c>
      <c r="N33" s="306"/>
      <c r="O33" s="37"/>
      <c r="P33" s="308"/>
      <c r="Q33" s="404" t="s">
        <v>70</v>
      </c>
      <c r="R33" s="405" t="s">
        <v>180</v>
      </c>
      <c r="S33" s="416">
        <v>11</v>
      </c>
      <c r="T33" s="416">
        <v>238</v>
      </c>
      <c r="U33" s="417">
        <v>0.95378151260504196</v>
      </c>
      <c r="V33" s="37"/>
      <c r="W33" s="404" t="s">
        <v>70</v>
      </c>
      <c r="X33" s="405" t="s">
        <v>180</v>
      </c>
      <c r="Y33" s="416">
        <v>12</v>
      </c>
      <c r="Z33" s="416">
        <v>241</v>
      </c>
      <c r="AA33" s="417">
        <v>0.950207468879668</v>
      </c>
      <c r="AB33" s="306"/>
      <c r="AC33" s="37"/>
      <c r="AD33" s="341" t="s">
        <v>83</v>
      </c>
      <c r="AE33" s="274" t="s">
        <v>121</v>
      </c>
      <c r="AF33" s="374">
        <v>0.99361022364217255</v>
      </c>
      <c r="AG33" s="275">
        <v>2</v>
      </c>
      <c r="AH33" s="375">
        <v>313</v>
      </c>
      <c r="AI33" s="361">
        <v>0.9555555555555556</v>
      </c>
      <c r="AJ33" s="275">
        <v>2</v>
      </c>
      <c r="AK33" s="388">
        <v>45</v>
      </c>
      <c r="AL33" s="374">
        <v>0.93133047210300424</v>
      </c>
      <c r="AM33" s="275">
        <v>16</v>
      </c>
      <c r="AN33" s="375">
        <v>233</v>
      </c>
      <c r="AO33" s="361">
        <v>0.96137339055793991</v>
      </c>
      <c r="AP33" s="275">
        <v>9</v>
      </c>
      <c r="AQ33" s="342">
        <v>233</v>
      </c>
    </row>
    <row r="34" spans="1:43" x14ac:dyDescent="0.2">
      <c r="A34" s="37"/>
      <c r="B34" s="308"/>
      <c r="C34" s="404" t="s">
        <v>89</v>
      </c>
      <c r="D34" s="405" t="s">
        <v>181</v>
      </c>
      <c r="E34" s="406">
        <v>5</v>
      </c>
      <c r="F34" s="406">
        <v>53</v>
      </c>
      <c r="G34" s="407">
        <v>0.90566037735849059</v>
      </c>
      <c r="H34" s="37"/>
      <c r="I34" s="404" t="s">
        <v>89</v>
      </c>
      <c r="J34" s="405" t="s">
        <v>181</v>
      </c>
      <c r="K34" s="416">
        <v>11</v>
      </c>
      <c r="L34" s="416">
        <v>150</v>
      </c>
      <c r="M34" s="417">
        <v>0.92666666666666664</v>
      </c>
      <c r="N34" s="306"/>
      <c r="O34" s="37"/>
      <c r="P34" s="308"/>
      <c r="Q34" s="404" t="s">
        <v>89</v>
      </c>
      <c r="R34" s="405" t="s">
        <v>181</v>
      </c>
      <c r="S34" s="416">
        <v>19</v>
      </c>
      <c r="T34" s="416">
        <v>241</v>
      </c>
      <c r="U34" s="417">
        <v>0.92116182572614114</v>
      </c>
      <c r="V34" s="37"/>
      <c r="W34" s="404" t="s">
        <v>89</v>
      </c>
      <c r="X34" s="405" t="s">
        <v>181</v>
      </c>
      <c r="Y34" s="416">
        <v>24</v>
      </c>
      <c r="Z34" s="416">
        <v>220</v>
      </c>
      <c r="AA34" s="417">
        <v>0.89090909090909087</v>
      </c>
      <c r="AB34" s="306"/>
      <c r="AC34" s="37"/>
      <c r="AD34" s="341" t="s">
        <v>86</v>
      </c>
      <c r="AE34" s="274" t="s">
        <v>198</v>
      </c>
      <c r="AF34" s="374">
        <v>0.94252873563218387</v>
      </c>
      <c r="AG34" s="275">
        <v>15</v>
      </c>
      <c r="AH34" s="375">
        <v>261</v>
      </c>
      <c r="AI34" s="361">
        <v>0.88</v>
      </c>
      <c r="AJ34" s="275">
        <v>6</v>
      </c>
      <c r="AK34" s="388">
        <v>50</v>
      </c>
      <c r="AL34" s="374">
        <v>0.89166666666666661</v>
      </c>
      <c r="AM34" s="275">
        <v>26</v>
      </c>
      <c r="AN34" s="375">
        <v>240</v>
      </c>
      <c r="AO34" s="361">
        <v>0.87719298245614041</v>
      </c>
      <c r="AP34" s="275">
        <v>28</v>
      </c>
      <c r="AQ34" s="342">
        <v>228</v>
      </c>
    </row>
    <row r="35" spans="1:43" x14ac:dyDescent="0.2">
      <c r="A35" s="37"/>
      <c r="B35" s="308"/>
      <c r="C35" s="404" t="s">
        <v>54</v>
      </c>
      <c r="D35" s="405" t="s">
        <v>182</v>
      </c>
      <c r="E35" s="406">
        <v>1</v>
      </c>
      <c r="F35" s="406">
        <v>42</v>
      </c>
      <c r="G35" s="407">
        <v>0.97619047619047616</v>
      </c>
      <c r="H35" s="37"/>
      <c r="I35" s="404" t="s">
        <v>54</v>
      </c>
      <c r="J35" s="405" t="s">
        <v>182</v>
      </c>
      <c r="K35" s="416">
        <v>5</v>
      </c>
      <c r="L35" s="416">
        <v>163</v>
      </c>
      <c r="M35" s="417">
        <v>0.96932515337423308</v>
      </c>
      <c r="N35" s="306"/>
      <c r="O35" s="37"/>
      <c r="P35" s="308"/>
      <c r="Q35" s="404" t="s">
        <v>54</v>
      </c>
      <c r="R35" s="405" t="s">
        <v>182</v>
      </c>
      <c r="S35" s="416">
        <v>9</v>
      </c>
      <c r="T35" s="416">
        <v>228</v>
      </c>
      <c r="U35" s="417">
        <v>0.96052631578947367</v>
      </c>
      <c r="V35" s="37"/>
      <c r="W35" s="404" t="s">
        <v>54</v>
      </c>
      <c r="X35" s="405" t="s">
        <v>182</v>
      </c>
      <c r="Y35" s="416">
        <v>15</v>
      </c>
      <c r="Z35" s="416">
        <v>233</v>
      </c>
      <c r="AA35" s="417">
        <v>0.93562231759656656</v>
      </c>
      <c r="AB35" s="306"/>
      <c r="AC35" s="37"/>
      <c r="AD35" s="341" t="s">
        <v>91</v>
      </c>
      <c r="AE35" s="274" t="s">
        <v>169</v>
      </c>
      <c r="AF35" s="374">
        <v>0.9051094890510949</v>
      </c>
      <c r="AG35" s="275">
        <v>13</v>
      </c>
      <c r="AH35" s="378">
        <v>137</v>
      </c>
      <c r="AI35" s="361">
        <v>0.85714285714285721</v>
      </c>
      <c r="AJ35" s="275">
        <v>6</v>
      </c>
      <c r="AK35" s="390">
        <v>42</v>
      </c>
      <c r="AL35" s="374">
        <v>0.90869565217391302</v>
      </c>
      <c r="AM35" s="275">
        <v>21</v>
      </c>
      <c r="AN35" s="378">
        <v>230</v>
      </c>
      <c r="AO35" s="361">
        <v>0.94537815126050417</v>
      </c>
      <c r="AP35" s="275">
        <v>13</v>
      </c>
      <c r="AQ35" s="346">
        <v>238</v>
      </c>
    </row>
    <row r="36" spans="1:43" x14ac:dyDescent="0.2">
      <c r="A36" s="37"/>
      <c r="B36" s="308"/>
      <c r="C36" s="404" t="s">
        <v>64</v>
      </c>
      <c r="D36" s="405" t="s">
        <v>183</v>
      </c>
      <c r="E36" s="406">
        <v>0</v>
      </c>
      <c r="F36" s="406">
        <v>40</v>
      </c>
      <c r="G36" s="407">
        <v>1</v>
      </c>
      <c r="H36" s="37"/>
      <c r="I36" s="404" t="s">
        <v>64</v>
      </c>
      <c r="J36" s="405" t="s">
        <v>183</v>
      </c>
      <c r="K36" s="416">
        <v>0</v>
      </c>
      <c r="L36" s="416">
        <v>143</v>
      </c>
      <c r="M36" s="417">
        <v>1</v>
      </c>
      <c r="N36" s="306"/>
      <c r="O36" s="37"/>
      <c r="P36" s="308"/>
      <c r="Q36" s="404" t="s">
        <v>64</v>
      </c>
      <c r="R36" s="405" t="s">
        <v>183</v>
      </c>
      <c r="S36" s="416">
        <v>7</v>
      </c>
      <c r="T36" s="416">
        <v>233</v>
      </c>
      <c r="U36" s="417">
        <v>0.96995708154506433</v>
      </c>
      <c r="V36" s="37"/>
      <c r="W36" s="404" t="s">
        <v>64</v>
      </c>
      <c r="X36" s="405" t="s">
        <v>183</v>
      </c>
      <c r="Y36" s="416">
        <v>1</v>
      </c>
      <c r="Z36" s="416">
        <v>226</v>
      </c>
      <c r="AA36" s="417">
        <v>0.99557522123893805</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5</v>
      </c>
      <c r="F37" s="406">
        <v>45</v>
      </c>
      <c r="G37" s="407">
        <v>0.88888888888888884</v>
      </c>
      <c r="H37" s="37"/>
      <c r="I37" s="404" t="s">
        <v>90</v>
      </c>
      <c r="J37" s="405" t="s">
        <v>184</v>
      </c>
      <c r="K37" s="416">
        <v>6</v>
      </c>
      <c r="L37" s="416">
        <v>176</v>
      </c>
      <c r="M37" s="417">
        <v>0.96590909090909094</v>
      </c>
      <c r="N37" s="306"/>
      <c r="O37" s="37"/>
      <c r="P37" s="308"/>
      <c r="Q37" s="404" t="s">
        <v>90</v>
      </c>
      <c r="R37" s="405" t="s">
        <v>184</v>
      </c>
      <c r="S37" s="416">
        <v>16</v>
      </c>
      <c r="T37" s="416">
        <v>236</v>
      </c>
      <c r="U37" s="417">
        <v>0.93220338983050843</v>
      </c>
      <c r="V37" s="37"/>
      <c r="W37" s="404" t="s">
        <v>90</v>
      </c>
      <c r="X37" s="405" t="s">
        <v>184</v>
      </c>
      <c r="Y37" s="416">
        <v>17</v>
      </c>
      <c r="Z37" s="416">
        <v>233</v>
      </c>
      <c r="AA37" s="417">
        <v>0.92703862660944203</v>
      </c>
      <c r="AB37" s="306"/>
      <c r="AC37" s="37"/>
      <c r="AD37" s="344" t="s">
        <v>257</v>
      </c>
      <c r="AE37" s="276" t="s">
        <v>170</v>
      </c>
      <c r="AF37" s="376">
        <v>0.96868008948545858</v>
      </c>
      <c r="AG37" s="277">
        <v>14</v>
      </c>
      <c r="AH37" s="377">
        <v>447</v>
      </c>
      <c r="AI37" s="362">
        <v>0.84905660377358494</v>
      </c>
      <c r="AJ37" s="277">
        <v>8</v>
      </c>
      <c r="AK37" s="389">
        <v>53</v>
      </c>
      <c r="AL37" s="376">
        <v>0.88571428571428568</v>
      </c>
      <c r="AM37" s="277">
        <v>28</v>
      </c>
      <c r="AN37" s="377">
        <v>245</v>
      </c>
      <c r="AO37" s="362">
        <v>0.89956331877729256</v>
      </c>
      <c r="AP37" s="277">
        <v>23</v>
      </c>
      <c r="AQ37" s="345">
        <v>229</v>
      </c>
    </row>
    <row r="38" spans="1:43" x14ac:dyDescent="0.2">
      <c r="A38" s="37"/>
      <c r="B38" s="308"/>
      <c r="C38" s="404" t="s">
        <v>53</v>
      </c>
      <c r="D38" s="405" t="s">
        <v>185</v>
      </c>
      <c r="E38" s="406">
        <v>1</v>
      </c>
      <c r="F38" s="406">
        <v>48</v>
      </c>
      <c r="G38" s="407">
        <v>0.97916666666666663</v>
      </c>
      <c r="H38" s="37"/>
      <c r="I38" s="404" t="s">
        <v>53</v>
      </c>
      <c r="J38" s="405" t="s">
        <v>185</v>
      </c>
      <c r="K38" s="416">
        <v>7</v>
      </c>
      <c r="L38" s="416">
        <v>175</v>
      </c>
      <c r="M38" s="417">
        <v>0.96</v>
      </c>
      <c r="N38" s="306"/>
      <c r="O38" s="37"/>
      <c r="P38" s="308"/>
      <c r="Q38" s="404" t="s">
        <v>53</v>
      </c>
      <c r="R38" s="405" t="s">
        <v>185</v>
      </c>
      <c r="S38" s="416">
        <v>28</v>
      </c>
      <c r="T38" s="416">
        <v>240</v>
      </c>
      <c r="U38" s="417">
        <v>0.8833333333333333</v>
      </c>
      <c r="V38" s="37"/>
      <c r="W38" s="404" t="s">
        <v>53</v>
      </c>
      <c r="X38" s="405" t="s">
        <v>185</v>
      </c>
      <c r="Y38" s="416">
        <v>21</v>
      </c>
      <c r="Z38" s="416">
        <v>219</v>
      </c>
      <c r="AA38" s="417">
        <v>0.90410958904109595</v>
      </c>
      <c r="AB38" s="306"/>
      <c r="AC38" s="37"/>
      <c r="AD38" s="339" t="s">
        <v>21</v>
      </c>
      <c r="AE38" s="272"/>
      <c r="AF38" s="372">
        <v>0.95983606557377055</v>
      </c>
      <c r="AG38" s="273">
        <v>98</v>
      </c>
      <c r="AH38" s="373">
        <v>2440</v>
      </c>
      <c r="AI38" s="360">
        <v>0.93092621664050235</v>
      </c>
      <c r="AJ38" s="273">
        <v>44</v>
      </c>
      <c r="AK38" s="387">
        <v>637</v>
      </c>
      <c r="AL38" s="372">
        <v>0.92807071014934472</v>
      </c>
      <c r="AM38" s="273">
        <v>236</v>
      </c>
      <c r="AN38" s="373">
        <v>3281</v>
      </c>
      <c r="AO38" s="360">
        <v>0.938615721891638</v>
      </c>
      <c r="AP38" s="273">
        <v>196</v>
      </c>
      <c r="AQ38" s="340">
        <v>3193</v>
      </c>
    </row>
    <row r="39" spans="1:43" x14ac:dyDescent="0.2">
      <c r="A39" s="37"/>
      <c r="B39" s="308"/>
      <c r="C39" s="404" t="s">
        <v>44</v>
      </c>
      <c r="D39" s="405" t="s">
        <v>186</v>
      </c>
      <c r="E39" s="406">
        <v>2</v>
      </c>
      <c r="F39" s="406">
        <v>42</v>
      </c>
      <c r="G39" s="407">
        <v>0.95238095238095233</v>
      </c>
      <c r="H39" s="37"/>
      <c r="I39" s="404" t="s">
        <v>44</v>
      </c>
      <c r="J39" s="405" t="s">
        <v>186</v>
      </c>
      <c r="K39" s="416">
        <v>4</v>
      </c>
      <c r="L39" s="416">
        <v>215</v>
      </c>
      <c r="M39" s="417">
        <v>0.98139534883720936</v>
      </c>
      <c r="N39" s="306"/>
      <c r="O39" s="37"/>
      <c r="P39" s="308"/>
      <c r="Q39" s="404" t="s">
        <v>44</v>
      </c>
      <c r="R39" s="405" t="s">
        <v>186</v>
      </c>
      <c r="S39" s="416">
        <v>14</v>
      </c>
      <c r="T39" s="416">
        <v>233</v>
      </c>
      <c r="U39" s="417">
        <v>0.93991416309012876</v>
      </c>
      <c r="V39" s="37"/>
      <c r="W39" s="404" t="s">
        <v>44</v>
      </c>
      <c r="X39" s="405" t="s">
        <v>186</v>
      </c>
      <c r="Y39" s="416">
        <v>18</v>
      </c>
      <c r="Z39" s="416">
        <v>224</v>
      </c>
      <c r="AA39" s="417">
        <v>0.9196428571428571</v>
      </c>
      <c r="AB39" s="306"/>
      <c r="AC39" s="37"/>
      <c r="AD39" s="341" t="s">
        <v>50</v>
      </c>
      <c r="AE39" s="274" t="s">
        <v>178</v>
      </c>
      <c r="AF39" s="374">
        <v>0.95454545454545459</v>
      </c>
      <c r="AG39" s="275">
        <v>7</v>
      </c>
      <c r="AH39" s="375">
        <v>154</v>
      </c>
      <c r="AI39" s="361">
        <v>0.91111111111111109</v>
      </c>
      <c r="AJ39" s="275">
        <v>4</v>
      </c>
      <c r="AK39" s="388">
        <v>45</v>
      </c>
      <c r="AL39" s="374">
        <v>0.90869565217391302</v>
      </c>
      <c r="AM39" s="275">
        <v>21</v>
      </c>
      <c r="AN39" s="375">
        <v>230</v>
      </c>
      <c r="AO39" s="361">
        <v>0.9023255813953488</v>
      </c>
      <c r="AP39" s="275">
        <v>21</v>
      </c>
      <c r="AQ39" s="342">
        <v>215</v>
      </c>
    </row>
    <row r="40" spans="1:43" x14ac:dyDescent="0.2">
      <c r="A40" s="37"/>
      <c r="B40" s="308"/>
      <c r="C40" s="404" t="s">
        <v>84</v>
      </c>
      <c r="D40" s="405" t="s">
        <v>187</v>
      </c>
      <c r="E40" s="406">
        <v>7</v>
      </c>
      <c r="F40" s="406">
        <v>49</v>
      </c>
      <c r="G40" s="407">
        <v>0.85714285714285721</v>
      </c>
      <c r="H40" s="37"/>
      <c r="I40" s="404" t="s">
        <v>84</v>
      </c>
      <c r="J40" s="405" t="s">
        <v>187</v>
      </c>
      <c r="K40" s="416">
        <v>17</v>
      </c>
      <c r="L40" s="416">
        <v>572</v>
      </c>
      <c r="M40" s="417">
        <v>0.97027972027972031</v>
      </c>
      <c r="N40" s="306"/>
      <c r="O40" s="37"/>
      <c r="P40" s="308"/>
      <c r="Q40" s="404" t="s">
        <v>84</v>
      </c>
      <c r="R40" s="405" t="s">
        <v>187</v>
      </c>
      <c r="S40" s="416">
        <v>31</v>
      </c>
      <c r="T40" s="416">
        <v>238</v>
      </c>
      <c r="U40" s="417">
        <v>0.86974789915966388</v>
      </c>
      <c r="V40" s="37"/>
      <c r="W40" s="404" t="s">
        <v>84</v>
      </c>
      <c r="X40" s="405" t="s">
        <v>187</v>
      </c>
      <c r="Y40" s="416">
        <v>16</v>
      </c>
      <c r="Z40" s="416">
        <v>225</v>
      </c>
      <c r="AA40" s="417">
        <v>0.92888888888888888</v>
      </c>
      <c r="AB40" s="306"/>
      <c r="AC40" s="37"/>
      <c r="AD40" s="341" t="s">
        <v>54</v>
      </c>
      <c r="AE40" s="274" t="s">
        <v>182</v>
      </c>
      <c r="AF40" s="374">
        <v>0.96932515337423308</v>
      </c>
      <c r="AG40" s="275">
        <v>5</v>
      </c>
      <c r="AH40" s="375">
        <v>163</v>
      </c>
      <c r="AI40" s="361">
        <v>0.97619047619047616</v>
      </c>
      <c r="AJ40" s="275">
        <v>1</v>
      </c>
      <c r="AK40" s="388">
        <v>42</v>
      </c>
      <c r="AL40" s="374">
        <v>0.96052631578947367</v>
      </c>
      <c r="AM40" s="275">
        <v>9</v>
      </c>
      <c r="AN40" s="375">
        <v>228</v>
      </c>
      <c r="AO40" s="361">
        <v>0.93562231759656656</v>
      </c>
      <c r="AP40" s="275">
        <v>15</v>
      </c>
      <c r="AQ40" s="342">
        <v>233</v>
      </c>
    </row>
    <row r="41" spans="1:43" x14ac:dyDescent="0.2">
      <c r="A41" s="37"/>
      <c r="B41" s="308"/>
      <c r="C41" s="404" t="s">
        <v>76</v>
      </c>
      <c r="D41" s="405" t="s">
        <v>188</v>
      </c>
      <c r="E41" s="406">
        <v>0</v>
      </c>
      <c r="F41" s="406">
        <v>50</v>
      </c>
      <c r="G41" s="407">
        <v>1</v>
      </c>
      <c r="H41" s="37"/>
      <c r="I41" s="404" t="s">
        <v>76</v>
      </c>
      <c r="J41" s="405" t="s">
        <v>188</v>
      </c>
      <c r="K41" s="416">
        <v>1</v>
      </c>
      <c r="L41" s="416">
        <v>209</v>
      </c>
      <c r="M41" s="417">
        <v>0.99521531100478466</v>
      </c>
      <c r="N41" s="306"/>
      <c r="O41" s="37"/>
      <c r="P41" s="308"/>
      <c r="Q41" s="404" t="s">
        <v>76</v>
      </c>
      <c r="R41" s="405" t="s">
        <v>188</v>
      </c>
      <c r="S41" s="416">
        <v>25</v>
      </c>
      <c r="T41" s="416">
        <v>239</v>
      </c>
      <c r="U41" s="417">
        <v>0.89539748953974896</v>
      </c>
      <c r="V41" s="37"/>
      <c r="W41" s="404" t="s">
        <v>76</v>
      </c>
      <c r="X41" s="405" t="s">
        <v>188</v>
      </c>
      <c r="Y41" s="416">
        <v>20</v>
      </c>
      <c r="Z41" s="416">
        <v>224</v>
      </c>
      <c r="AA41" s="417">
        <v>0.9107142857142857</v>
      </c>
      <c r="AB41" s="306"/>
      <c r="AC41" s="37"/>
      <c r="AD41" s="341" t="s">
        <v>56</v>
      </c>
      <c r="AE41" s="274" t="s">
        <v>207</v>
      </c>
      <c r="AF41" s="374">
        <v>0.97674418604651159</v>
      </c>
      <c r="AG41" s="275">
        <v>3</v>
      </c>
      <c r="AH41" s="375">
        <v>129</v>
      </c>
      <c r="AI41" s="361">
        <v>0.95833333333333337</v>
      </c>
      <c r="AJ41" s="275">
        <v>2</v>
      </c>
      <c r="AK41" s="388">
        <v>48</v>
      </c>
      <c r="AL41" s="374">
        <v>0.95319148936170217</v>
      </c>
      <c r="AM41" s="275">
        <v>11</v>
      </c>
      <c r="AN41" s="375">
        <v>235</v>
      </c>
      <c r="AO41" s="361">
        <v>0.95238095238095233</v>
      </c>
      <c r="AP41" s="275">
        <v>11</v>
      </c>
      <c r="AQ41" s="342">
        <v>231</v>
      </c>
    </row>
    <row r="42" spans="1:43" x14ac:dyDescent="0.2">
      <c r="A42" s="37"/>
      <c r="B42" s="308"/>
      <c r="C42" s="404" t="s">
        <v>66</v>
      </c>
      <c r="D42" s="405" t="s">
        <v>189</v>
      </c>
      <c r="E42" s="406">
        <v>9</v>
      </c>
      <c r="F42" s="406">
        <v>54</v>
      </c>
      <c r="G42" s="407">
        <v>0.83333333333333337</v>
      </c>
      <c r="H42" s="37"/>
      <c r="I42" s="404" t="s">
        <v>66</v>
      </c>
      <c r="J42" s="405" t="s">
        <v>189</v>
      </c>
      <c r="K42" s="416">
        <v>11</v>
      </c>
      <c r="L42" s="416">
        <v>244</v>
      </c>
      <c r="M42" s="417">
        <v>0.95491803278688525</v>
      </c>
      <c r="N42" s="306"/>
      <c r="O42" s="37"/>
      <c r="P42" s="308"/>
      <c r="Q42" s="404" t="s">
        <v>66</v>
      </c>
      <c r="R42" s="405" t="s">
        <v>189</v>
      </c>
      <c r="S42" s="416">
        <v>29</v>
      </c>
      <c r="T42" s="416">
        <v>240</v>
      </c>
      <c r="U42" s="417">
        <v>0.87916666666666665</v>
      </c>
      <c r="V42" s="37"/>
      <c r="W42" s="404" t="s">
        <v>66</v>
      </c>
      <c r="X42" s="405" t="s">
        <v>189</v>
      </c>
      <c r="Y42" s="416">
        <v>17</v>
      </c>
      <c r="Z42" s="416">
        <v>206</v>
      </c>
      <c r="AA42" s="417">
        <v>0.91747572815533984</v>
      </c>
      <c r="AB42" s="306"/>
      <c r="AC42" s="37"/>
      <c r="AD42" s="341" t="s">
        <v>60</v>
      </c>
      <c r="AE42" s="274" t="s">
        <v>200</v>
      </c>
      <c r="AF42" s="374">
        <v>0.91489361702127658</v>
      </c>
      <c r="AG42" s="275">
        <v>20</v>
      </c>
      <c r="AH42" s="375">
        <v>235</v>
      </c>
      <c r="AI42" s="361">
        <v>0.89090909090909087</v>
      </c>
      <c r="AJ42" s="275">
        <v>6</v>
      </c>
      <c r="AK42" s="388">
        <v>55</v>
      </c>
      <c r="AL42" s="374">
        <v>0.85833333333333339</v>
      </c>
      <c r="AM42" s="275">
        <v>34</v>
      </c>
      <c r="AN42" s="375">
        <v>240</v>
      </c>
      <c r="AO42" s="361">
        <v>0.91402714932126694</v>
      </c>
      <c r="AP42" s="275">
        <v>19</v>
      </c>
      <c r="AQ42" s="342">
        <v>221</v>
      </c>
    </row>
    <row r="43" spans="1:43" x14ac:dyDescent="0.2">
      <c r="A43" s="37"/>
      <c r="B43" s="308"/>
      <c r="C43" s="404" t="s">
        <v>78</v>
      </c>
      <c r="D43" s="405" t="s">
        <v>190</v>
      </c>
      <c r="E43" s="406">
        <v>3</v>
      </c>
      <c r="F43" s="406">
        <v>44</v>
      </c>
      <c r="G43" s="407">
        <v>0.93181818181818188</v>
      </c>
      <c r="H43" s="37"/>
      <c r="I43" s="404" t="s">
        <v>78</v>
      </c>
      <c r="J43" s="405" t="s">
        <v>190</v>
      </c>
      <c r="K43" s="416">
        <v>5</v>
      </c>
      <c r="L43" s="416">
        <v>240</v>
      </c>
      <c r="M43" s="417">
        <v>0.97916666666666663</v>
      </c>
      <c r="N43" s="306"/>
      <c r="O43" s="37"/>
      <c r="P43" s="308"/>
      <c r="Q43" s="404" t="s">
        <v>78</v>
      </c>
      <c r="R43" s="405" t="s">
        <v>190</v>
      </c>
      <c r="S43" s="416">
        <v>19</v>
      </c>
      <c r="T43" s="416">
        <v>237</v>
      </c>
      <c r="U43" s="417">
        <v>0.91983122362869196</v>
      </c>
      <c r="V43" s="37"/>
      <c r="W43" s="404" t="s">
        <v>78</v>
      </c>
      <c r="X43" s="405" t="s">
        <v>190</v>
      </c>
      <c r="Y43" s="416">
        <v>19</v>
      </c>
      <c r="Z43" s="416">
        <v>234</v>
      </c>
      <c r="AA43" s="417">
        <v>0.91880341880341876</v>
      </c>
      <c r="AB43" s="306"/>
      <c r="AC43" s="37"/>
      <c r="AD43" s="341" t="s">
        <v>64</v>
      </c>
      <c r="AE43" s="274" t="s">
        <v>183</v>
      </c>
      <c r="AF43" s="374">
        <v>1</v>
      </c>
      <c r="AG43" s="275">
        <v>0</v>
      </c>
      <c r="AH43" s="375">
        <v>143</v>
      </c>
      <c r="AI43" s="361">
        <v>1</v>
      </c>
      <c r="AJ43" s="275">
        <v>0</v>
      </c>
      <c r="AK43" s="388">
        <v>40</v>
      </c>
      <c r="AL43" s="374">
        <v>0.96995708154506433</v>
      </c>
      <c r="AM43" s="275">
        <v>7</v>
      </c>
      <c r="AN43" s="375">
        <v>233</v>
      </c>
      <c r="AO43" s="361">
        <v>0.99557522123893805</v>
      </c>
      <c r="AP43" s="275">
        <v>1</v>
      </c>
      <c r="AQ43" s="342">
        <v>226</v>
      </c>
    </row>
    <row r="44" spans="1:43" x14ac:dyDescent="0.2">
      <c r="A44" s="37"/>
      <c r="B44" s="308"/>
      <c r="C44" s="404" t="s">
        <v>87</v>
      </c>
      <c r="D44" s="405" t="s">
        <v>191</v>
      </c>
      <c r="E44" s="406">
        <v>8</v>
      </c>
      <c r="F44" s="406">
        <v>64</v>
      </c>
      <c r="G44" s="407">
        <v>0.875</v>
      </c>
      <c r="H44" s="37"/>
      <c r="I44" s="404" t="s">
        <v>87</v>
      </c>
      <c r="J44" s="405" t="s">
        <v>191</v>
      </c>
      <c r="K44" s="416">
        <v>28</v>
      </c>
      <c r="L44" s="416">
        <v>520</v>
      </c>
      <c r="M44" s="417">
        <v>0.94615384615384612</v>
      </c>
      <c r="N44" s="306"/>
      <c r="O44" s="37"/>
      <c r="P44" s="308"/>
      <c r="Q44" s="404" t="s">
        <v>87</v>
      </c>
      <c r="R44" s="405" t="s">
        <v>191</v>
      </c>
      <c r="S44" s="416">
        <v>34</v>
      </c>
      <c r="T44" s="416">
        <v>284</v>
      </c>
      <c r="U44" s="417">
        <v>0.88028169014084512</v>
      </c>
      <c r="V44" s="37"/>
      <c r="W44" s="404" t="s">
        <v>87</v>
      </c>
      <c r="X44" s="405" t="s">
        <v>191</v>
      </c>
      <c r="Y44" s="416">
        <v>9</v>
      </c>
      <c r="Z44" s="416">
        <v>219</v>
      </c>
      <c r="AA44" s="417">
        <v>0.95890410958904115</v>
      </c>
      <c r="AB44" s="306"/>
      <c r="AC44" s="37"/>
      <c r="AD44" s="341" t="s">
        <v>65</v>
      </c>
      <c r="AE44" s="274" t="s">
        <v>195</v>
      </c>
      <c r="AF44" s="374">
        <v>0.96499999999999997</v>
      </c>
      <c r="AG44" s="275">
        <v>7</v>
      </c>
      <c r="AH44" s="375">
        <v>200</v>
      </c>
      <c r="AI44" s="361">
        <v>0.93333333333333335</v>
      </c>
      <c r="AJ44" s="275">
        <v>3</v>
      </c>
      <c r="AK44" s="388">
        <v>45</v>
      </c>
      <c r="AL44" s="374">
        <v>0.91416309012875541</v>
      </c>
      <c r="AM44" s="275">
        <v>20</v>
      </c>
      <c r="AN44" s="375">
        <v>233</v>
      </c>
      <c r="AO44" s="361">
        <v>0.94347826086956521</v>
      </c>
      <c r="AP44" s="275">
        <v>13</v>
      </c>
      <c r="AQ44" s="342">
        <v>230</v>
      </c>
    </row>
    <row r="45" spans="1:43" x14ac:dyDescent="0.2">
      <c r="A45" s="37"/>
      <c r="B45" s="308"/>
      <c r="C45" s="404" t="s">
        <v>47</v>
      </c>
      <c r="D45" s="405" t="s">
        <v>192</v>
      </c>
      <c r="E45" s="406">
        <v>4</v>
      </c>
      <c r="F45" s="406">
        <v>39</v>
      </c>
      <c r="G45" s="407">
        <v>0.89743589743589747</v>
      </c>
      <c r="H45" s="37"/>
      <c r="I45" s="404" t="s">
        <v>47</v>
      </c>
      <c r="J45" s="405" t="s">
        <v>192</v>
      </c>
      <c r="K45" s="416">
        <v>10</v>
      </c>
      <c r="L45" s="416">
        <v>176</v>
      </c>
      <c r="M45" s="417">
        <v>0.94318181818181823</v>
      </c>
      <c r="N45" s="306"/>
      <c r="O45" s="37"/>
      <c r="P45" s="308"/>
      <c r="Q45" s="404" t="s">
        <v>47</v>
      </c>
      <c r="R45" s="405" t="s">
        <v>192</v>
      </c>
      <c r="S45" s="416">
        <v>15</v>
      </c>
      <c r="T45" s="416">
        <v>229</v>
      </c>
      <c r="U45" s="417">
        <v>0.93449781659388642</v>
      </c>
      <c r="V45" s="37"/>
      <c r="W45" s="404" t="s">
        <v>47</v>
      </c>
      <c r="X45" s="405" t="s">
        <v>192</v>
      </c>
      <c r="Y45" s="416">
        <v>14</v>
      </c>
      <c r="Z45" s="416">
        <v>229</v>
      </c>
      <c r="AA45" s="417">
        <v>0.93886462882096067</v>
      </c>
      <c r="AB45" s="306"/>
      <c r="AC45" s="37"/>
      <c r="AD45" s="341" t="s">
        <v>242</v>
      </c>
      <c r="AE45" s="274" t="s">
        <v>180</v>
      </c>
      <c r="AF45" s="374">
        <v>0.97452229299363058</v>
      </c>
      <c r="AG45" s="275">
        <v>4</v>
      </c>
      <c r="AH45" s="375">
        <v>157</v>
      </c>
      <c r="AI45" s="361">
        <v>0.9555555555555556</v>
      </c>
      <c r="AJ45" s="275">
        <v>2</v>
      </c>
      <c r="AK45" s="388">
        <v>45</v>
      </c>
      <c r="AL45" s="374">
        <v>0.95378151260504196</v>
      </c>
      <c r="AM45" s="275">
        <v>11</v>
      </c>
      <c r="AN45" s="375">
        <v>238</v>
      </c>
      <c r="AO45" s="361">
        <v>0.950207468879668</v>
      </c>
      <c r="AP45" s="275">
        <v>12</v>
      </c>
      <c r="AQ45" s="342">
        <v>241</v>
      </c>
    </row>
    <row r="46" spans="1:43" x14ac:dyDescent="0.2">
      <c r="A46" s="37"/>
      <c r="B46" s="308"/>
      <c r="C46" s="404" t="s">
        <v>80</v>
      </c>
      <c r="D46" s="405" t="s">
        <v>193</v>
      </c>
      <c r="E46" s="406">
        <v>0</v>
      </c>
      <c r="F46" s="406">
        <v>42</v>
      </c>
      <c r="G46" s="407">
        <v>1</v>
      </c>
      <c r="H46" s="37"/>
      <c r="I46" s="404" t="s">
        <v>80</v>
      </c>
      <c r="J46" s="405" t="s">
        <v>193</v>
      </c>
      <c r="K46" s="416">
        <v>0</v>
      </c>
      <c r="L46" s="416">
        <v>182</v>
      </c>
      <c r="M46" s="417">
        <v>1</v>
      </c>
      <c r="N46" s="306"/>
      <c r="O46" s="37"/>
      <c r="P46" s="308"/>
      <c r="Q46" s="404" t="s">
        <v>80</v>
      </c>
      <c r="R46" s="405" t="s">
        <v>193</v>
      </c>
      <c r="S46" s="416">
        <v>9</v>
      </c>
      <c r="T46" s="416">
        <v>230</v>
      </c>
      <c r="U46" s="417">
        <v>0.96086956521739131</v>
      </c>
      <c r="V46" s="37"/>
      <c r="W46" s="404" t="s">
        <v>80</v>
      </c>
      <c r="X46" s="405" t="s">
        <v>193</v>
      </c>
      <c r="Y46" s="416">
        <v>7</v>
      </c>
      <c r="Z46" s="416">
        <v>219</v>
      </c>
      <c r="AA46" s="417">
        <v>0.96803652968036524</v>
      </c>
      <c r="AB46" s="306"/>
      <c r="AC46" s="37"/>
      <c r="AD46" s="341" t="s">
        <v>36</v>
      </c>
      <c r="AE46" s="274" t="s">
        <v>196</v>
      </c>
      <c r="AF46" s="374">
        <v>0.97872340425531912</v>
      </c>
      <c r="AG46" s="275">
        <v>4</v>
      </c>
      <c r="AH46" s="375">
        <v>188</v>
      </c>
      <c r="AI46" s="361">
        <v>0.93181818181818188</v>
      </c>
      <c r="AJ46" s="275">
        <v>3</v>
      </c>
      <c r="AK46" s="388">
        <v>44</v>
      </c>
      <c r="AL46" s="374">
        <v>0.91025641025641024</v>
      </c>
      <c r="AM46" s="275">
        <v>21</v>
      </c>
      <c r="AN46" s="375">
        <v>234</v>
      </c>
      <c r="AO46" s="361">
        <v>0.96475770925110127</v>
      </c>
      <c r="AP46" s="275">
        <v>8</v>
      </c>
      <c r="AQ46" s="342">
        <v>227</v>
      </c>
    </row>
    <row r="47" spans="1:43" x14ac:dyDescent="0.2">
      <c r="A47" s="37"/>
      <c r="B47" s="308"/>
      <c r="C47" s="404" t="s">
        <v>93</v>
      </c>
      <c r="D47" s="405" t="s">
        <v>194</v>
      </c>
      <c r="E47" s="406">
        <v>5</v>
      </c>
      <c r="F47" s="406">
        <v>42</v>
      </c>
      <c r="G47" s="407">
        <v>0.88095238095238093</v>
      </c>
      <c r="H47" s="37"/>
      <c r="I47" s="404" t="s">
        <v>93</v>
      </c>
      <c r="J47" s="405" t="s">
        <v>194</v>
      </c>
      <c r="K47" s="416">
        <v>18</v>
      </c>
      <c r="L47" s="416">
        <v>219</v>
      </c>
      <c r="M47" s="417">
        <v>0.9178082191780822</v>
      </c>
      <c r="N47" s="306"/>
      <c r="O47" s="37"/>
      <c r="P47" s="308"/>
      <c r="Q47" s="404" t="s">
        <v>93</v>
      </c>
      <c r="R47" s="405" t="s">
        <v>194</v>
      </c>
      <c r="S47" s="416">
        <v>25</v>
      </c>
      <c r="T47" s="416">
        <v>231</v>
      </c>
      <c r="U47" s="417">
        <v>0.89177489177489178</v>
      </c>
      <c r="V47" s="37"/>
      <c r="W47" s="404" t="s">
        <v>93</v>
      </c>
      <c r="X47" s="405" t="s">
        <v>194</v>
      </c>
      <c r="Y47" s="416">
        <v>21</v>
      </c>
      <c r="Z47" s="416">
        <v>225</v>
      </c>
      <c r="AA47" s="417">
        <v>0.90666666666666662</v>
      </c>
      <c r="AB47" s="306"/>
      <c r="AC47" s="37"/>
      <c r="AD47" s="341" t="s">
        <v>73</v>
      </c>
      <c r="AE47" s="274" t="s">
        <v>172</v>
      </c>
      <c r="AF47" s="374">
        <v>0.97340425531914898</v>
      </c>
      <c r="AG47" s="275">
        <v>5</v>
      </c>
      <c r="AH47" s="375">
        <v>188</v>
      </c>
      <c r="AI47" s="361">
        <v>0.91489361702127658</v>
      </c>
      <c r="AJ47" s="275">
        <v>4</v>
      </c>
      <c r="AK47" s="388">
        <v>47</v>
      </c>
      <c r="AL47" s="374">
        <v>0.91949152542372881</v>
      </c>
      <c r="AM47" s="275">
        <v>19</v>
      </c>
      <c r="AN47" s="375">
        <v>236</v>
      </c>
      <c r="AO47" s="361">
        <v>0.93305439330543938</v>
      </c>
      <c r="AP47" s="275">
        <v>16</v>
      </c>
      <c r="AQ47" s="342">
        <v>239</v>
      </c>
    </row>
    <row r="48" spans="1:43" x14ac:dyDescent="0.2">
      <c r="A48" s="37"/>
      <c r="B48" s="308"/>
      <c r="C48" s="404" t="s">
        <v>65</v>
      </c>
      <c r="D48" s="405" t="s">
        <v>195</v>
      </c>
      <c r="E48" s="406">
        <v>3</v>
      </c>
      <c r="F48" s="406">
        <v>45</v>
      </c>
      <c r="G48" s="407">
        <v>0.93333333333333335</v>
      </c>
      <c r="H48" s="37"/>
      <c r="I48" s="404" t="s">
        <v>65</v>
      </c>
      <c r="J48" s="405" t="s">
        <v>195</v>
      </c>
      <c r="K48" s="416">
        <v>7</v>
      </c>
      <c r="L48" s="416">
        <v>200</v>
      </c>
      <c r="M48" s="417">
        <v>0.96499999999999997</v>
      </c>
      <c r="N48" s="306"/>
      <c r="O48" s="37"/>
      <c r="P48" s="308"/>
      <c r="Q48" s="404" t="s">
        <v>65</v>
      </c>
      <c r="R48" s="405" t="s">
        <v>195</v>
      </c>
      <c r="S48" s="416">
        <v>20</v>
      </c>
      <c r="T48" s="416">
        <v>233</v>
      </c>
      <c r="U48" s="417">
        <v>0.91416309012875541</v>
      </c>
      <c r="V48" s="37"/>
      <c r="W48" s="404" t="s">
        <v>65</v>
      </c>
      <c r="X48" s="405" t="s">
        <v>195</v>
      </c>
      <c r="Y48" s="416">
        <v>13</v>
      </c>
      <c r="Z48" s="416">
        <v>230</v>
      </c>
      <c r="AA48" s="417">
        <v>0.94347826086956521</v>
      </c>
      <c r="AB48" s="306"/>
      <c r="AC48" s="37"/>
      <c r="AD48" s="341" t="s">
        <v>88</v>
      </c>
      <c r="AE48" s="274" t="s">
        <v>208</v>
      </c>
      <c r="AF48" s="374">
        <v>0.97986577181208057</v>
      </c>
      <c r="AG48" s="275">
        <v>3</v>
      </c>
      <c r="AH48" s="375">
        <v>149</v>
      </c>
      <c r="AI48" s="361">
        <v>1</v>
      </c>
      <c r="AJ48" s="275">
        <v>0</v>
      </c>
      <c r="AK48" s="388">
        <v>40</v>
      </c>
      <c r="AL48" s="374">
        <v>0.9652173913043478</v>
      </c>
      <c r="AM48" s="275">
        <v>8</v>
      </c>
      <c r="AN48" s="375">
        <v>230</v>
      </c>
      <c r="AO48" s="361">
        <v>0.96536796536796532</v>
      </c>
      <c r="AP48" s="275">
        <v>8</v>
      </c>
      <c r="AQ48" s="342">
        <v>231</v>
      </c>
    </row>
    <row r="49" spans="1:43" x14ac:dyDescent="0.2">
      <c r="A49" s="37"/>
      <c r="B49" s="308"/>
      <c r="C49" s="404" t="s">
        <v>36</v>
      </c>
      <c r="D49" s="405" t="s">
        <v>196</v>
      </c>
      <c r="E49" s="406">
        <v>3</v>
      </c>
      <c r="F49" s="406">
        <v>44</v>
      </c>
      <c r="G49" s="407">
        <v>0.93181818181818188</v>
      </c>
      <c r="H49" s="37"/>
      <c r="I49" s="404" t="s">
        <v>36</v>
      </c>
      <c r="J49" s="405" t="s">
        <v>196</v>
      </c>
      <c r="K49" s="416">
        <v>4</v>
      </c>
      <c r="L49" s="416">
        <v>188</v>
      </c>
      <c r="M49" s="417">
        <v>0.97872340425531912</v>
      </c>
      <c r="N49" s="306"/>
      <c r="O49" s="37"/>
      <c r="P49" s="308"/>
      <c r="Q49" s="404" t="s">
        <v>36</v>
      </c>
      <c r="R49" s="405" t="s">
        <v>196</v>
      </c>
      <c r="S49" s="416">
        <v>21</v>
      </c>
      <c r="T49" s="416">
        <v>234</v>
      </c>
      <c r="U49" s="417">
        <v>0.91025641025641024</v>
      </c>
      <c r="V49" s="37"/>
      <c r="W49" s="404" t="s">
        <v>36</v>
      </c>
      <c r="X49" s="405" t="s">
        <v>196</v>
      </c>
      <c r="Y49" s="416">
        <v>8</v>
      </c>
      <c r="Z49" s="416">
        <v>227</v>
      </c>
      <c r="AA49" s="417">
        <v>0.96475770925110127</v>
      </c>
      <c r="AB49" s="306"/>
      <c r="AC49" s="37"/>
      <c r="AD49" s="341" t="s">
        <v>89</v>
      </c>
      <c r="AE49" s="274" t="s">
        <v>181</v>
      </c>
      <c r="AF49" s="374">
        <v>0.92666666666666664</v>
      </c>
      <c r="AG49" s="275">
        <v>11</v>
      </c>
      <c r="AH49" s="375">
        <v>150</v>
      </c>
      <c r="AI49" s="361">
        <v>0.90566037735849059</v>
      </c>
      <c r="AJ49" s="275">
        <v>5</v>
      </c>
      <c r="AK49" s="388">
        <v>53</v>
      </c>
      <c r="AL49" s="374">
        <v>0.92116182572614114</v>
      </c>
      <c r="AM49" s="275">
        <v>19</v>
      </c>
      <c r="AN49" s="375">
        <v>241</v>
      </c>
      <c r="AO49" s="361">
        <v>0.89090909090909087</v>
      </c>
      <c r="AP49" s="275">
        <v>24</v>
      </c>
      <c r="AQ49" s="342">
        <v>220</v>
      </c>
    </row>
    <row r="50" spans="1:43" x14ac:dyDescent="0.2">
      <c r="A50" s="37"/>
      <c r="B50" s="308"/>
      <c r="C50" s="404" t="s">
        <v>82</v>
      </c>
      <c r="D50" s="405" t="s">
        <v>197</v>
      </c>
      <c r="E50" s="406">
        <v>3</v>
      </c>
      <c r="F50" s="406">
        <v>44</v>
      </c>
      <c r="G50" s="407">
        <v>0.93181818181818188</v>
      </c>
      <c r="H50" s="37"/>
      <c r="I50" s="404" t="s">
        <v>82</v>
      </c>
      <c r="J50" s="405" t="s">
        <v>197</v>
      </c>
      <c r="K50" s="416">
        <v>5</v>
      </c>
      <c r="L50" s="416">
        <v>199</v>
      </c>
      <c r="M50" s="417">
        <v>0.97487437185929648</v>
      </c>
      <c r="N50" s="306"/>
      <c r="O50" s="37"/>
      <c r="P50" s="308"/>
      <c r="Q50" s="404" t="s">
        <v>82</v>
      </c>
      <c r="R50" s="405" t="s">
        <v>197</v>
      </c>
      <c r="S50" s="416">
        <v>19</v>
      </c>
      <c r="T50" s="416">
        <v>235</v>
      </c>
      <c r="U50" s="417">
        <v>0.91914893617021276</v>
      </c>
      <c r="V50" s="37"/>
      <c r="W50" s="404" t="s">
        <v>82</v>
      </c>
      <c r="X50" s="405" t="s">
        <v>197</v>
      </c>
      <c r="Y50" s="416">
        <v>20</v>
      </c>
      <c r="Z50" s="416">
        <v>229</v>
      </c>
      <c r="AA50" s="417">
        <v>0.9126637554585153</v>
      </c>
      <c r="AB50" s="306"/>
      <c r="AC50" s="37"/>
      <c r="AD50" s="341" t="s">
        <v>250</v>
      </c>
      <c r="AE50" s="274" t="s">
        <v>184</v>
      </c>
      <c r="AF50" s="374">
        <v>0.96590909090909094</v>
      </c>
      <c r="AG50" s="275">
        <v>6</v>
      </c>
      <c r="AH50" s="375">
        <v>176</v>
      </c>
      <c r="AI50" s="361">
        <v>0.88888888888888884</v>
      </c>
      <c r="AJ50" s="275">
        <v>5</v>
      </c>
      <c r="AK50" s="388">
        <v>45</v>
      </c>
      <c r="AL50" s="374">
        <v>0.93220338983050843</v>
      </c>
      <c r="AM50" s="275">
        <v>16</v>
      </c>
      <c r="AN50" s="375">
        <v>236</v>
      </c>
      <c r="AO50" s="361">
        <v>0.92703862660944203</v>
      </c>
      <c r="AP50" s="275">
        <v>17</v>
      </c>
      <c r="AQ50" s="342">
        <v>233</v>
      </c>
    </row>
    <row r="51" spans="1:43" x14ac:dyDescent="0.2">
      <c r="A51" s="37"/>
      <c r="B51" s="308"/>
      <c r="C51" s="404" t="s">
        <v>86</v>
      </c>
      <c r="D51" s="405" t="s">
        <v>198</v>
      </c>
      <c r="E51" s="406">
        <v>6</v>
      </c>
      <c r="F51" s="406">
        <v>50</v>
      </c>
      <c r="G51" s="407">
        <v>0.88</v>
      </c>
      <c r="H51" s="37"/>
      <c r="I51" s="404" t="s">
        <v>86</v>
      </c>
      <c r="J51" s="405" t="s">
        <v>198</v>
      </c>
      <c r="K51" s="416">
        <v>15</v>
      </c>
      <c r="L51" s="416">
        <v>261</v>
      </c>
      <c r="M51" s="417">
        <v>0.94252873563218387</v>
      </c>
      <c r="N51" s="306"/>
      <c r="O51" s="37"/>
      <c r="P51" s="308"/>
      <c r="Q51" s="404" t="s">
        <v>86</v>
      </c>
      <c r="R51" s="405" t="s">
        <v>198</v>
      </c>
      <c r="S51" s="416">
        <v>26</v>
      </c>
      <c r="T51" s="416">
        <v>240</v>
      </c>
      <c r="U51" s="417">
        <v>0.89166666666666661</v>
      </c>
      <c r="V51" s="37"/>
      <c r="W51" s="404" t="s">
        <v>86</v>
      </c>
      <c r="X51" s="405" t="s">
        <v>198</v>
      </c>
      <c r="Y51" s="416">
        <v>28</v>
      </c>
      <c r="Z51" s="416">
        <v>228</v>
      </c>
      <c r="AA51" s="417">
        <v>0.87719298245614041</v>
      </c>
      <c r="AB51" s="306"/>
      <c r="AC51" s="37"/>
      <c r="AD51" s="341" t="s">
        <v>93</v>
      </c>
      <c r="AE51" s="274" t="s">
        <v>194</v>
      </c>
      <c r="AF51" s="374">
        <v>0.9178082191780822</v>
      </c>
      <c r="AG51" s="275">
        <v>18</v>
      </c>
      <c r="AH51" s="375">
        <v>219</v>
      </c>
      <c r="AI51" s="361">
        <v>0.88095238095238093</v>
      </c>
      <c r="AJ51" s="275">
        <v>5</v>
      </c>
      <c r="AK51" s="388">
        <v>42</v>
      </c>
      <c r="AL51" s="374">
        <v>0.89177489177489178</v>
      </c>
      <c r="AM51" s="275">
        <v>25</v>
      </c>
      <c r="AN51" s="375">
        <v>231</v>
      </c>
      <c r="AO51" s="361">
        <v>0.90666666666666662</v>
      </c>
      <c r="AP51" s="275">
        <v>21</v>
      </c>
      <c r="AQ51" s="342">
        <v>225</v>
      </c>
    </row>
    <row r="52" spans="1:43" ht="13.5" thickBot="1" x14ac:dyDescent="0.25">
      <c r="A52" s="37"/>
      <c r="B52" s="308"/>
      <c r="C52" s="404" t="s">
        <v>69</v>
      </c>
      <c r="D52" s="405" t="s">
        <v>199</v>
      </c>
      <c r="E52" s="406">
        <v>3</v>
      </c>
      <c r="F52" s="406">
        <v>45</v>
      </c>
      <c r="G52" s="407">
        <v>0.93333333333333335</v>
      </c>
      <c r="H52" s="37"/>
      <c r="I52" s="404" t="s">
        <v>69</v>
      </c>
      <c r="J52" s="405" t="s">
        <v>199</v>
      </c>
      <c r="K52" s="416">
        <v>4</v>
      </c>
      <c r="L52" s="416">
        <v>141</v>
      </c>
      <c r="M52" s="417">
        <v>0.97163120567375882</v>
      </c>
      <c r="N52" s="306"/>
      <c r="O52" s="37"/>
      <c r="P52" s="308"/>
      <c r="Q52" s="404" t="s">
        <v>69</v>
      </c>
      <c r="R52" s="405" t="s">
        <v>199</v>
      </c>
      <c r="S52" s="416">
        <v>12</v>
      </c>
      <c r="T52" s="416">
        <v>231</v>
      </c>
      <c r="U52" s="417">
        <v>0.94805194805194803</v>
      </c>
      <c r="V52" s="37"/>
      <c r="W52" s="404" t="s">
        <v>69</v>
      </c>
      <c r="X52" s="405" t="s">
        <v>199</v>
      </c>
      <c r="Y52" s="416">
        <v>14</v>
      </c>
      <c r="Z52" s="416">
        <v>225</v>
      </c>
      <c r="AA52" s="417">
        <v>0.93777777777777782</v>
      </c>
      <c r="AB52" s="306"/>
      <c r="AC52" s="37"/>
      <c r="AD52" s="344" t="s">
        <v>95</v>
      </c>
      <c r="AE52" s="276" t="s">
        <v>209</v>
      </c>
      <c r="AF52" s="376">
        <v>0.97354497354497349</v>
      </c>
      <c r="AG52" s="277">
        <v>5</v>
      </c>
      <c r="AH52" s="377">
        <v>189</v>
      </c>
      <c r="AI52" s="362">
        <v>0.91304347826086962</v>
      </c>
      <c r="AJ52" s="277">
        <v>4</v>
      </c>
      <c r="AK52" s="389">
        <v>46</v>
      </c>
      <c r="AL52" s="376">
        <v>0.93644067796610164</v>
      </c>
      <c r="AM52" s="277">
        <v>15</v>
      </c>
      <c r="AN52" s="377">
        <v>236</v>
      </c>
      <c r="AO52" s="362">
        <v>0.95475113122171951</v>
      </c>
      <c r="AP52" s="277">
        <v>10</v>
      </c>
      <c r="AQ52" s="345">
        <v>221</v>
      </c>
    </row>
    <row r="53" spans="1:43" x14ac:dyDescent="0.2">
      <c r="A53" s="37"/>
      <c r="B53" s="308"/>
      <c r="C53" s="404" t="s">
        <v>60</v>
      </c>
      <c r="D53" s="405" t="s">
        <v>200</v>
      </c>
      <c r="E53" s="406">
        <v>6</v>
      </c>
      <c r="F53" s="406">
        <v>55</v>
      </c>
      <c r="G53" s="407">
        <v>0.89090909090909087</v>
      </c>
      <c r="H53" s="37"/>
      <c r="I53" s="404" t="s">
        <v>60</v>
      </c>
      <c r="J53" s="405" t="s">
        <v>200</v>
      </c>
      <c r="K53" s="416">
        <v>20</v>
      </c>
      <c r="L53" s="416">
        <v>235</v>
      </c>
      <c r="M53" s="417">
        <v>0.91489361702127658</v>
      </c>
      <c r="N53" s="306"/>
      <c r="O53" s="37"/>
      <c r="P53" s="308"/>
      <c r="Q53" s="404" t="s">
        <v>60</v>
      </c>
      <c r="R53" s="405" t="s">
        <v>200</v>
      </c>
      <c r="S53" s="416">
        <v>34</v>
      </c>
      <c r="T53" s="416">
        <v>240</v>
      </c>
      <c r="U53" s="417">
        <v>0.85833333333333339</v>
      </c>
      <c r="V53" s="37"/>
      <c r="W53" s="404" t="s">
        <v>60</v>
      </c>
      <c r="X53" s="405" t="s">
        <v>200</v>
      </c>
      <c r="Y53" s="416">
        <v>19</v>
      </c>
      <c r="Z53" s="416">
        <v>221</v>
      </c>
      <c r="AA53" s="417">
        <v>0.91402714932126694</v>
      </c>
      <c r="AB53" s="306"/>
      <c r="AC53" s="37"/>
      <c r="AD53" s="339" t="s">
        <v>22</v>
      </c>
      <c r="AE53" s="272"/>
      <c r="AF53" s="372">
        <v>0.96434553720985883</v>
      </c>
      <c r="AG53" s="273">
        <v>149</v>
      </c>
      <c r="AH53" s="373">
        <v>4179</v>
      </c>
      <c r="AI53" s="360">
        <v>0.90837696335078533</v>
      </c>
      <c r="AJ53" s="273">
        <v>70</v>
      </c>
      <c r="AK53" s="387">
        <v>764</v>
      </c>
      <c r="AL53" s="372">
        <v>0.90578382622350173</v>
      </c>
      <c r="AM53" s="273">
        <v>360</v>
      </c>
      <c r="AN53" s="373">
        <v>3821</v>
      </c>
      <c r="AO53" s="360">
        <v>0.9298147108366086</v>
      </c>
      <c r="AP53" s="273">
        <v>250</v>
      </c>
      <c r="AQ53" s="340">
        <v>3562</v>
      </c>
    </row>
    <row r="54" spans="1:43" x14ac:dyDescent="0.2">
      <c r="A54" s="37"/>
      <c r="B54" s="308"/>
      <c r="C54" s="404" t="s">
        <v>68</v>
      </c>
      <c r="D54" s="405" t="s">
        <v>201</v>
      </c>
      <c r="E54" s="406">
        <v>6</v>
      </c>
      <c r="F54" s="406">
        <v>53</v>
      </c>
      <c r="G54" s="407">
        <v>0.8867924528301887</v>
      </c>
      <c r="H54" s="37"/>
      <c r="I54" s="404" t="s">
        <v>68</v>
      </c>
      <c r="J54" s="405" t="s">
        <v>201</v>
      </c>
      <c r="K54" s="416">
        <v>17</v>
      </c>
      <c r="L54" s="416">
        <v>233</v>
      </c>
      <c r="M54" s="417">
        <v>0.92703862660944203</v>
      </c>
      <c r="N54" s="306"/>
      <c r="O54" s="37"/>
      <c r="P54" s="308"/>
      <c r="Q54" s="404" t="s">
        <v>68</v>
      </c>
      <c r="R54" s="405" t="s">
        <v>201</v>
      </c>
      <c r="S54" s="416">
        <v>21</v>
      </c>
      <c r="T54" s="416">
        <v>238</v>
      </c>
      <c r="U54" s="417">
        <v>0.91176470588235292</v>
      </c>
      <c r="V54" s="37"/>
      <c r="W54" s="404" t="s">
        <v>68</v>
      </c>
      <c r="X54" s="405" t="s">
        <v>201</v>
      </c>
      <c r="Y54" s="416">
        <v>23</v>
      </c>
      <c r="Z54" s="416">
        <v>235</v>
      </c>
      <c r="AA54" s="417">
        <v>0.90212765957446805</v>
      </c>
      <c r="AB54" s="306"/>
      <c r="AC54" s="37"/>
      <c r="AD54" s="341" t="s">
        <v>44</v>
      </c>
      <c r="AE54" s="274" t="s">
        <v>186</v>
      </c>
      <c r="AF54" s="374">
        <v>0.98139534883720936</v>
      </c>
      <c r="AG54" s="275">
        <v>4</v>
      </c>
      <c r="AH54" s="375">
        <v>215</v>
      </c>
      <c r="AI54" s="361">
        <v>0.95238095238095233</v>
      </c>
      <c r="AJ54" s="275">
        <v>2</v>
      </c>
      <c r="AK54" s="388">
        <v>42</v>
      </c>
      <c r="AL54" s="374">
        <v>0.93991416309012876</v>
      </c>
      <c r="AM54" s="275">
        <v>14</v>
      </c>
      <c r="AN54" s="375">
        <v>233</v>
      </c>
      <c r="AO54" s="361">
        <v>0.9196428571428571</v>
      </c>
      <c r="AP54" s="275">
        <v>18</v>
      </c>
      <c r="AQ54" s="342">
        <v>224</v>
      </c>
    </row>
    <row r="55" spans="1:43" x14ac:dyDescent="0.2">
      <c r="A55" s="37"/>
      <c r="B55" s="308"/>
      <c r="C55" s="404" t="s">
        <v>85</v>
      </c>
      <c r="D55" s="405" t="s">
        <v>202</v>
      </c>
      <c r="E55" s="406">
        <v>9</v>
      </c>
      <c r="F55" s="406">
        <v>55</v>
      </c>
      <c r="G55" s="407">
        <v>0.83636363636363642</v>
      </c>
      <c r="H55" s="37"/>
      <c r="I55" s="404" t="s">
        <v>85</v>
      </c>
      <c r="J55" s="405" t="s">
        <v>202</v>
      </c>
      <c r="K55" s="416">
        <v>27</v>
      </c>
      <c r="L55" s="416">
        <v>482</v>
      </c>
      <c r="M55" s="417">
        <v>0.94398340248962653</v>
      </c>
      <c r="N55" s="306"/>
      <c r="O55" s="37"/>
      <c r="P55" s="308"/>
      <c r="Q55" s="404" t="s">
        <v>85</v>
      </c>
      <c r="R55" s="405" t="s">
        <v>202</v>
      </c>
      <c r="S55" s="416">
        <v>39</v>
      </c>
      <c r="T55" s="416">
        <v>246</v>
      </c>
      <c r="U55" s="417">
        <v>0.84146341463414631</v>
      </c>
      <c r="V55" s="37"/>
      <c r="W55" s="404" t="s">
        <v>85</v>
      </c>
      <c r="X55" s="405" t="s">
        <v>202</v>
      </c>
      <c r="Y55" s="416">
        <v>23</v>
      </c>
      <c r="Z55" s="416">
        <v>225</v>
      </c>
      <c r="AA55" s="417">
        <v>0.89777777777777779</v>
      </c>
      <c r="AB55" s="306"/>
      <c r="AC55" s="37"/>
      <c r="AD55" s="341" t="s">
        <v>45</v>
      </c>
      <c r="AE55" s="274" t="s">
        <v>213</v>
      </c>
      <c r="AF55" s="374">
        <v>0.95714285714285718</v>
      </c>
      <c r="AG55" s="275">
        <v>12</v>
      </c>
      <c r="AH55" s="375">
        <v>280</v>
      </c>
      <c r="AI55" s="361">
        <v>0.82692307692307687</v>
      </c>
      <c r="AJ55" s="275">
        <v>9</v>
      </c>
      <c r="AK55" s="388">
        <v>52</v>
      </c>
      <c r="AL55" s="374">
        <v>0.87815126050420167</v>
      </c>
      <c r="AM55" s="275">
        <v>29</v>
      </c>
      <c r="AN55" s="375">
        <v>238</v>
      </c>
      <c r="AO55" s="361">
        <v>0.91363636363636358</v>
      </c>
      <c r="AP55" s="275">
        <v>19</v>
      </c>
      <c r="AQ55" s="342">
        <v>220</v>
      </c>
    </row>
    <row r="56" spans="1:43" x14ac:dyDescent="0.2">
      <c r="A56" s="37"/>
      <c r="B56" s="308"/>
      <c r="C56" s="404" t="s">
        <v>92</v>
      </c>
      <c r="D56" s="405" t="s">
        <v>203</v>
      </c>
      <c r="E56" s="406">
        <v>7</v>
      </c>
      <c r="F56" s="406">
        <v>43</v>
      </c>
      <c r="G56" s="407">
        <v>0.83720930232558133</v>
      </c>
      <c r="H56" s="37"/>
      <c r="I56" s="404" t="s">
        <v>92</v>
      </c>
      <c r="J56" s="405" t="s">
        <v>203</v>
      </c>
      <c r="K56" s="416">
        <v>14</v>
      </c>
      <c r="L56" s="416">
        <v>206</v>
      </c>
      <c r="M56" s="417">
        <v>0.93203883495145634</v>
      </c>
      <c r="N56" s="306"/>
      <c r="O56" s="37"/>
      <c r="P56" s="308"/>
      <c r="Q56" s="404" t="s">
        <v>92</v>
      </c>
      <c r="R56" s="405" t="s">
        <v>203</v>
      </c>
      <c r="S56" s="416">
        <v>19</v>
      </c>
      <c r="T56" s="416">
        <v>233</v>
      </c>
      <c r="U56" s="417">
        <v>0.91845493562231761</v>
      </c>
      <c r="V56" s="37"/>
      <c r="W56" s="404" t="s">
        <v>92</v>
      </c>
      <c r="X56" s="405" t="s">
        <v>203</v>
      </c>
      <c r="Y56" s="416">
        <v>6</v>
      </c>
      <c r="Z56" s="416">
        <v>239</v>
      </c>
      <c r="AA56" s="417">
        <v>0.97489539748953979</v>
      </c>
      <c r="AB56" s="306"/>
      <c r="AC56" s="37"/>
      <c r="AD56" s="341" t="s">
        <v>47</v>
      </c>
      <c r="AE56" s="274" t="s">
        <v>192</v>
      </c>
      <c r="AF56" s="374">
        <v>0.94318181818181823</v>
      </c>
      <c r="AG56" s="275">
        <v>10</v>
      </c>
      <c r="AH56" s="375">
        <v>176</v>
      </c>
      <c r="AI56" s="361">
        <v>0.89743589743589747</v>
      </c>
      <c r="AJ56" s="275">
        <v>4</v>
      </c>
      <c r="AK56" s="388">
        <v>39</v>
      </c>
      <c r="AL56" s="374">
        <v>0.93449781659388642</v>
      </c>
      <c r="AM56" s="275">
        <v>15</v>
      </c>
      <c r="AN56" s="375">
        <v>229</v>
      </c>
      <c r="AO56" s="361">
        <v>0.93886462882096067</v>
      </c>
      <c r="AP56" s="275">
        <v>14</v>
      </c>
      <c r="AQ56" s="342">
        <v>229</v>
      </c>
    </row>
    <row r="57" spans="1:43" x14ac:dyDescent="0.2">
      <c r="A57" s="37"/>
      <c r="B57" s="308"/>
      <c r="C57" s="404" t="s">
        <v>204</v>
      </c>
      <c r="D57" s="405" t="s">
        <v>105</v>
      </c>
      <c r="E57" s="406">
        <v>9</v>
      </c>
      <c r="F57" s="406">
        <v>55</v>
      </c>
      <c r="G57" s="407">
        <v>0.83636363636363642</v>
      </c>
      <c r="H57" s="37"/>
      <c r="I57" s="404" t="s">
        <v>204</v>
      </c>
      <c r="J57" s="405" t="s">
        <v>105</v>
      </c>
      <c r="K57" s="416">
        <v>11</v>
      </c>
      <c r="L57" s="416">
        <v>245</v>
      </c>
      <c r="M57" s="417">
        <v>0.95510204081632655</v>
      </c>
      <c r="N57" s="306"/>
      <c r="O57" s="37"/>
      <c r="P57" s="308"/>
      <c r="Q57" s="404" t="s">
        <v>204</v>
      </c>
      <c r="R57" s="405" t="s">
        <v>105</v>
      </c>
      <c r="S57" s="416">
        <v>32</v>
      </c>
      <c r="T57" s="416">
        <v>237</v>
      </c>
      <c r="U57" s="417">
        <v>0.86497890295358648</v>
      </c>
      <c r="V57" s="37"/>
      <c r="W57" s="404" t="s">
        <v>204</v>
      </c>
      <c r="X57" s="405" t="s">
        <v>105</v>
      </c>
      <c r="Y57" s="416">
        <v>39</v>
      </c>
      <c r="Z57" s="416">
        <v>236</v>
      </c>
      <c r="AA57" s="417">
        <v>0.8347457627118644</v>
      </c>
      <c r="AB57" s="306"/>
      <c r="AC57" s="37"/>
      <c r="AD57" s="341" t="s">
        <v>53</v>
      </c>
      <c r="AE57" s="274" t="s">
        <v>185</v>
      </c>
      <c r="AF57" s="374">
        <v>0.96</v>
      </c>
      <c r="AG57" s="275">
        <v>7</v>
      </c>
      <c r="AH57" s="375">
        <v>175</v>
      </c>
      <c r="AI57" s="361">
        <v>0.97916666666666663</v>
      </c>
      <c r="AJ57" s="275">
        <v>1</v>
      </c>
      <c r="AK57" s="388">
        <v>48</v>
      </c>
      <c r="AL57" s="374">
        <v>0.8833333333333333</v>
      </c>
      <c r="AM57" s="275">
        <v>28</v>
      </c>
      <c r="AN57" s="375">
        <v>240</v>
      </c>
      <c r="AO57" s="361">
        <v>0.90410958904109595</v>
      </c>
      <c r="AP57" s="275">
        <v>21</v>
      </c>
      <c r="AQ57" s="342">
        <v>219</v>
      </c>
    </row>
    <row r="58" spans="1:43" x14ac:dyDescent="0.2">
      <c r="A58" s="37"/>
      <c r="B58" s="308"/>
      <c r="C58" s="404" t="s">
        <v>205</v>
      </c>
      <c r="D58" s="405" t="s">
        <v>206</v>
      </c>
      <c r="E58" s="406">
        <v>4</v>
      </c>
      <c r="F58" s="406">
        <v>42</v>
      </c>
      <c r="G58" s="407">
        <v>0.90476190476190477</v>
      </c>
      <c r="H58" s="37"/>
      <c r="I58" s="404" t="s">
        <v>205</v>
      </c>
      <c r="J58" s="405" t="s">
        <v>206</v>
      </c>
      <c r="K58" s="416">
        <v>4</v>
      </c>
      <c r="L58" s="416">
        <v>133</v>
      </c>
      <c r="M58" s="417">
        <v>0.96992481203007519</v>
      </c>
      <c r="N58" s="306"/>
      <c r="O58" s="37"/>
      <c r="P58" s="308"/>
      <c r="Q58" s="404" t="s">
        <v>205</v>
      </c>
      <c r="R58" s="405" t="s">
        <v>206</v>
      </c>
      <c r="S58" s="416">
        <v>12</v>
      </c>
      <c r="T58" s="416">
        <v>229</v>
      </c>
      <c r="U58" s="417">
        <v>0.94759825327510916</v>
      </c>
      <c r="V58" s="37"/>
      <c r="W58" s="404" t="s">
        <v>205</v>
      </c>
      <c r="X58" s="405" t="s">
        <v>206</v>
      </c>
      <c r="Y58" s="416">
        <v>10</v>
      </c>
      <c r="Z58" s="416">
        <v>225</v>
      </c>
      <c r="AA58" s="417">
        <v>0.9555555555555556</v>
      </c>
      <c r="AB58" s="306"/>
      <c r="AC58" s="37"/>
      <c r="AD58" s="341" t="s">
        <v>49</v>
      </c>
      <c r="AE58" s="274">
        <v>442</v>
      </c>
      <c r="AF58" s="374">
        <v>0.94478527607361962</v>
      </c>
      <c r="AG58" s="275">
        <v>9</v>
      </c>
      <c r="AH58" s="375">
        <v>163</v>
      </c>
      <c r="AI58" s="361">
        <v>0.88888888888888884</v>
      </c>
      <c r="AJ58" s="275">
        <v>5</v>
      </c>
      <c r="AK58" s="388">
        <v>45</v>
      </c>
      <c r="AL58" s="374">
        <v>0.90517241379310343</v>
      </c>
      <c r="AM58" s="275">
        <v>22</v>
      </c>
      <c r="AN58" s="375">
        <v>232</v>
      </c>
      <c r="AO58" s="361">
        <v>0.92452830188679247</v>
      </c>
      <c r="AP58" s="275">
        <v>16</v>
      </c>
      <c r="AQ58" s="342">
        <v>212</v>
      </c>
    </row>
    <row r="59" spans="1:43" x14ac:dyDescent="0.2">
      <c r="A59" s="37"/>
      <c r="B59" s="308"/>
      <c r="C59" s="404" t="s">
        <v>56</v>
      </c>
      <c r="D59" s="405" t="s">
        <v>207</v>
      </c>
      <c r="E59" s="406">
        <v>2</v>
      </c>
      <c r="F59" s="406">
        <v>48</v>
      </c>
      <c r="G59" s="407">
        <v>0.95833333333333337</v>
      </c>
      <c r="H59" s="37"/>
      <c r="I59" s="404" t="s">
        <v>56</v>
      </c>
      <c r="J59" s="405" t="s">
        <v>207</v>
      </c>
      <c r="K59" s="416">
        <v>3</v>
      </c>
      <c r="L59" s="416">
        <v>129</v>
      </c>
      <c r="M59" s="417">
        <v>0.97674418604651159</v>
      </c>
      <c r="N59" s="306"/>
      <c r="O59" s="37"/>
      <c r="P59" s="308"/>
      <c r="Q59" s="404" t="s">
        <v>56</v>
      </c>
      <c r="R59" s="405" t="s">
        <v>207</v>
      </c>
      <c r="S59" s="416">
        <v>11</v>
      </c>
      <c r="T59" s="416">
        <v>235</v>
      </c>
      <c r="U59" s="417">
        <v>0.95319148936170217</v>
      </c>
      <c r="V59" s="37"/>
      <c r="W59" s="404" t="s">
        <v>56</v>
      </c>
      <c r="X59" s="405" t="s">
        <v>207</v>
      </c>
      <c r="Y59" s="416">
        <v>11</v>
      </c>
      <c r="Z59" s="416">
        <v>231</v>
      </c>
      <c r="AA59" s="417">
        <v>0.95238095238095233</v>
      </c>
      <c r="AB59" s="306"/>
      <c r="AC59" s="37"/>
      <c r="AD59" s="341" t="s">
        <v>205</v>
      </c>
      <c r="AE59" s="274" t="s">
        <v>206</v>
      </c>
      <c r="AF59" s="374">
        <v>0.96992481203007519</v>
      </c>
      <c r="AG59" s="275">
        <v>4</v>
      </c>
      <c r="AH59" s="375">
        <v>133</v>
      </c>
      <c r="AI59" s="361">
        <v>0.90476190476190477</v>
      </c>
      <c r="AJ59" s="275">
        <v>4</v>
      </c>
      <c r="AK59" s="388">
        <v>42</v>
      </c>
      <c r="AL59" s="374">
        <v>0.94759825327510916</v>
      </c>
      <c r="AM59" s="275">
        <v>12</v>
      </c>
      <c r="AN59" s="375">
        <v>229</v>
      </c>
      <c r="AO59" s="361">
        <v>0.9555555555555556</v>
      </c>
      <c r="AP59" s="275">
        <v>10</v>
      </c>
      <c r="AQ59" s="342">
        <v>225</v>
      </c>
    </row>
    <row r="60" spans="1:43" x14ac:dyDescent="0.2">
      <c r="A60" s="37"/>
      <c r="B60" s="308"/>
      <c r="C60" s="404" t="s">
        <v>88</v>
      </c>
      <c r="D60" s="405" t="s">
        <v>208</v>
      </c>
      <c r="E60" s="406">
        <v>0</v>
      </c>
      <c r="F60" s="406">
        <v>40</v>
      </c>
      <c r="G60" s="407">
        <v>1</v>
      </c>
      <c r="H60" s="37"/>
      <c r="I60" s="404" t="s">
        <v>88</v>
      </c>
      <c r="J60" s="405" t="s">
        <v>208</v>
      </c>
      <c r="K60" s="416">
        <v>3</v>
      </c>
      <c r="L60" s="416">
        <v>149</v>
      </c>
      <c r="M60" s="417">
        <v>0.97986577181208057</v>
      </c>
      <c r="N60" s="306"/>
      <c r="O60" s="37"/>
      <c r="P60" s="308"/>
      <c r="Q60" s="404" t="s">
        <v>88</v>
      </c>
      <c r="R60" s="405" t="s">
        <v>208</v>
      </c>
      <c r="S60" s="416">
        <v>8</v>
      </c>
      <c r="T60" s="416">
        <v>230</v>
      </c>
      <c r="U60" s="417">
        <v>0.9652173913043478</v>
      </c>
      <c r="V60" s="37"/>
      <c r="W60" s="404" t="s">
        <v>88</v>
      </c>
      <c r="X60" s="405" t="s">
        <v>208</v>
      </c>
      <c r="Y60" s="416">
        <v>8</v>
      </c>
      <c r="Z60" s="416">
        <v>231</v>
      </c>
      <c r="AA60" s="417">
        <v>0.96536796536796532</v>
      </c>
      <c r="AB60" s="306"/>
      <c r="AC60" s="37"/>
      <c r="AD60" s="341" t="s">
        <v>59</v>
      </c>
      <c r="AE60" s="274" t="s">
        <v>210</v>
      </c>
      <c r="AF60" s="374">
        <v>0.97983870967741937</v>
      </c>
      <c r="AG60" s="275">
        <v>5</v>
      </c>
      <c r="AH60" s="375">
        <v>248</v>
      </c>
      <c r="AI60" s="361">
        <v>0.93877551020408168</v>
      </c>
      <c r="AJ60" s="275">
        <v>3</v>
      </c>
      <c r="AK60" s="388">
        <v>49</v>
      </c>
      <c r="AL60" s="374">
        <v>0.90416666666666667</v>
      </c>
      <c r="AM60" s="275">
        <v>23</v>
      </c>
      <c r="AN60" s="375">
        <v>240</v>
      </c>
      <c r="AO60" s="361">
        <v>0.96916299559471364</v>
      </c>
      <c r="AP60" s="275">
        <v>7</v>
      </c>
      <c r="AQ60" s="342">
        <v>227</v>
      </c>
    </row>
    <row r="61" spans="1:43" x14ac:dyDescent="0.2">
      <c r="A61" s="37"/>
      <c r="B61" s="308"/>
      <c r="C61" s="404" t="s">
        <v>49</v>
      </c>
      <c r="D61" s="405">
        <v>442</v>
      </c>
      <c r="E61" s="406">
        <v>5</v>
      </c>
      <c r="F61" s="406">
        <v>45</v>
      </c>
      <c r="G61" s="407">
        <v>0.88888888888888884</v>
      </c>
      <c r="H61" s="37"/>
      <c r="I61" s="404" t="s">
        <v>49</v>
      </c>
      <c r="J61" s="405">
        <v>442</v>
      </c>
      <c r="K61" s="416">
        <v>9</v>
      </c>
      <c r="L61" s="416">
        <v>163</v>
      </c>
      <c r="M61" s="417">
        <v>0.94478527607361962</v>
      </c>
      <c r="N61" s="306"/>
      <c r="O61" s="37"/>
      <c r="P61" s="308"/>
      <c r="Q61" s="404" t="s">
        <v>49</v>
      </c>
      <c r="R61" s="405">
        <v>442</v>
      </c>
      <c r="S61" s="416">
        <v>22</v>
      </c>
      <c r="T61" s="416">
        <v>232</v>
      </c>
      <c r="U61" s="417">
        <v>0.90517241379310343</v>
      </c>
      <c r="V61" s="37"/>
      <c r="W61" s="404" t="s">
        <v>49</v>
      </c>
      <c r="X61" s="405">
        <v>442</v>
      </c>
      <c r="Y61" s="416">
        <v>16</v>
      </c>
      <c r="Z61" s="416">
        <v>212</v>
      </c>
      <c r="AA61" s="417">
        <v>0.92452830188679247</v>
      </c>
      <c r="AB61" s="306"/>
      <c r="AC61" s="37"/>
      <c r="AD61" s="343" t="s">
        <v>66</v>
      </c>
      <c r="AE61" s="274" t="s">
        <v>189</v>
      </c>
      <c r="AF61" s="374">
        <v>0.95491803278688525</v>
      </c>
      <c r="AG61" s="275">
        <v>11</v>
      </c>
      <c r="AH61" s="375">
        <v>244</v>
      </c>
      <c r="AI61" s="361">
        <v>0.83333333333333337</v>
      </c>
      <c r="AJ61" s="275">
        <v>9</v>
      </c>
      <c r="AK61" s="388">
        <v>54</v>
      </c>
      <c r="AL61" s="374">
        <v>0.87916666666666665</v>
      </c>
      <c r="AM61" s="275">
        <v>29</v>
      </c>
      <c r="AN61" s="375">
        <v>240</v>
      </c>
      <c r="AO61" s="361">
        <v>0.91747572815533984</v>
      </c>
      <c r="AP61" s="275">
        <v>17</v>
      </c>
      <c r="AQ61" s="342">
        <v>206</v>
      </c>
    </row>
    <row r="62" spans="1:43" x14ac:dyDescent="0.2">
      <c r="A62" s="37"/>
      <c r="B62" s="308"/>
      <c r="C62" s="404" t="s">
        <v>95</v>
      </c>
      <c r="D62" s="405" t="s">
        <v>209</v>
      </c>
      <c r="E62" s="406">
        <v>4</v>
      </c>
      <c r="F62" s="406">
        <v>46</v>
      </c>
      <c r="G62" s="407">
        <v>0.91304347826086962</v>
      </c>
      <c r="H62" s="37"/>
      <c r="I62" s="404" t="s">
        <v>95</v>
      </c>
      <c r="J62" s="405" t="s">
        <v>209</v>
      </c>
      <c r="K62" s="416">
        <v>5</v>
      </c>
      <c r="L62" s="416">
        <v>189</v>
      </c>
      <c r="M62" s="417">
        <v>0.97354497354497349</v>
      </c>
      <c r="N62" s="306"/>
      <c r="O62" s="37"/>
      <c r="P62" s="308"/>
      <c r="Q62" s="404" t="s">
        <v>95</v>
      </c>
      <c r="R62" s="405" t="s">
        <v>209</v>
      </c>
      <c r="S62" s="416">
        <v>15</v>
      </c>
      <c r="T62" s="416">
        <v>236</v>
      </c>
      <c r="U62" s="417">
        <v>0.93644067796610164</v>
      </c>
      <c r="V62" s="37"/>
      <c r="W62" s="404" t="s">
        <v>95</v>
      </c>
      <c r="X62" s="405" t="s">
        <v>209</v>
      </c>
      <c r="Y62" s="416">
        <v>10</v>
      </c>
      <c r="Z62" s="416">
        <v>221</v>
      </c>
      <c r="AA62" s="417">
        <v>0.95475113122171951</v>
      </c>
      <c r="AB62" s="306"/>
      <c r="AC62" s="37"/>
      <c r="AD62" s="341" t="s">
        <v>69</v>
      </c>
      <c r="AE62" s="274" t="s">
        <v>199</v>
      </c>
      <c r="AF62" s="374">
        <v>0.97163120567375882</v>
      </c>
      <c r="AG62" s="275">
        <v>4</v>
      </c>
      <c r="AH62" s="375">
        <v>141</v>
      </c>
      <c r="AI62" s="361">
        <v>0.93333333333333335</v>
      </c>
      <c r="AJ62" s="275">
        <v>3</v>
      </c>
      <c r="AK62" s="388">
        <v>45</v>
      </c>
      <c r="AL62" s="374">
        <v>0.94805194805194803</v>
      </c>
      <c r="AM62" s="275">
        <v>12</v>
      </c>
      <c r="AN62" s="375">
        <v>231</v>
      </c>
      <c r="AO62" s="361">
        <v>0.93777777777777782</v>
      </c>
      <c r="AP62" s="275">
        <v>14</v>
      </c>
      <c r="AQ62" s="342">
        <v>225</v>
      </c>
    </row>
    <row r="63" spans="1:43" x14ac:dyDescent="0.2">
      <c r="A63" s="37"/>
      <c r="B63" s="308"/>
      <c r="C63" s="404" t="s">
        <v>59</v>
      </c>
      <c r="D63" s="405" t="s">
        <v>210</v>
      </c>
      <c r="E63" s="406">
        <v>3</v>
      </c>
      <c r="F63" s="406">
        <v>49</v>
      </c>
      <c r="G63" s="407">
        <v>0.93877551020408168</v>
      </c>
      <c r="H63" s="37"/>
      <c r="I63" s="404" t="s">
        <v>59</v>
      </c>
      <c r="J63" s="405" t="s">
        <v>210</v>
      </c>
      <c r="K63" s="416">
        <v>5</v>
      </c>
      <c r="L63" s="416">
        <v>248</v>
      </c>
      <c r="M63" s="417">
        <v>0.97983870967741937</v>
      </c>
      <c r="N63" s="306"/>
      <c r="O63" s="37"/>
      <c r="P63" s="308"/>
      <c r="Q63" s="404" t="s">
        <v>59</v>
      </c>
      <c r="R63" s="405" t="s">
        <v>210</v>
      </c>
      <c r="S63" s="416">
        <v>23</v>
      </c>
      <c r="T63" s="416">
        <v>240</v>
      </c>
      <c r="U63" s="417">
        <v>0.90416666666666667</v>
      </c>
      <c r="V63" s="37"/>
      <c r="W63" s="404" t="s">
        <v>59</v>
      </c>
      <c r="X63" s="405" t="s">
        <v>210</v>
      </c>
      <c r="Y63" s="416">
        <v>7</v>
      </c>
      <c r="Z63" s="416">
        <v>227</v>
      </c>
      <c r="AA63" s="417">
        <v>0.96916299559471364</v>
      </c>
      <c r="AB63" s="306"/>
      <c r="AC63" s="37"/>
      <c r="AD63" s="341" t="s">
        <v>76</v>
      </c>
      <c r="AE63" s="274" t="s">
        <v>188</v>
      </c>
      <c r="AF63" s="374">
        <v>0.99521531100478466</v>
      </c>
      <c r="AG63" s="275">
        <v>1</v>
      </c>
      <c r="AH63" s="375">
        <v>209</v>
      </c>
      <c r="AI63" s="361">
        <v>1</v>
      </c>
      <c r="AJ63" s="275">
        <v>0</v>
      </c>
      <c r="AK63" s="388">
        <v>50</v>
      </c>
      <c r="AL63" s="374">
        <v>0.89539748953974896</v>
      </c>
      <c r="AM63" s="275">
        <v>25</v>
      </c>
      <c r="AN63" s="375">
        <v>239</v>
      </c>
      <c r="AO63" s="361">
        <v>0.9107142857142857</v>
      </c>
      <c r="AP63" s="275">
        <v>20</v>
      </c>
      <c r="AQ63" s="342">
        <v>224</v>
      </c>
    </row>
    <row r="64" spans="1:43" x14ac:dyDescent="0.2">
      <c r="A64" s="37"/>
      <c r="B64" s="308"/>
      <c r="C64" s="404" t="s">
        <v>211</v>
      </c>
      <c r="D64" s="405" t="s">
        <v>212</v>
      </c>
      <c r="E64" s="406">
        <v>8</v>
      </c>
      <c r="F64" s="406">
        <v>53</v>
      </c>
      <c r="G64" s="407">
        <v>0.84905660377358494</v>
      </c>
      <c r="H64" s="37"/>
      <c r="I64" s="404" t="s">
        <v>211</v>
      </c>
      <c r="J64" s="405" t="s">
        <v>212</v>
      </c>
      <c r="K64" s="416">
        <v>13</v>
      </c>
      <c r="L64" s="416">
        <v>227</v>
      </c>
      <c r="M64" s="417">
        <v>0.94273127753303965</v>
      </c>
      <c r="N64" s="306"/>
      <c r="O64" s="37"/>
      <c r="P64" s="308"/>
      <c r="Q64" s="404" t="s">
        <v>211</v>
      </c>
      <c r="R64" s="405" t="s">
        <v>212</v>
      </c>
      <c r="S64" s="416">
        <v>29</v>
      </c>
      <c r="T64" s="416">
        <v>240</v>
      </c>
      <c r="U64" s="417">
        <v>0.87916666666666665</v>
      </c>
      <c r="V64" s="37"/>
      <c r="W64" s="404" t="s">
        <v>211</v>
      </c>
      <c r="X64" s="405" t="s">
        <v>212</v>
      </c>
      <c r="Y64" s="416">
        <v>14</v>
      </c>
      <c r="Z64" s="416">
        <v>214</v>
      </c>
      <c r="AA64" s="417">
        <v>0.93457943925233644</v>
      </c>
      <c r="AB64" s="306"/>
      <c r="AC64" s="37"/>
      <c r="AD64" s="341" t="s">
        <v>78</v>
      </c>
      <c r="AE64" s="274" t="s">
        <v>190</v>
      </c>
      <c r="AF64" s="374">
        <v>0.97916666666666663</v>
      </c>
      <c r="AG64" s="275">
        <v>5</v>
      </c>
      <c r="AH64" s="375">
        <v>240</v>
      </c>
      <c r="AI64" s="361">
        <v>0.93181818181818188</v>
      </c>
      <c r="AJ64" s="275">
        <v>3</v>
      </c>
      <c r="AK64" s="388">
        <v>44</v>
      </c>
      <c r="AL64" s="374">
        <v>0.91983122362869196</v>
      </c>
      <c r="AM64" s="275">
        <v>19</v>
      </c>
      <c r="AN64" s="375">
        <v>237</v>
      </c>
      <c r="AO64" s="361">
        <v>0.91880341880341876</v>
      </c>
      <c r="AP64" s="275">
        <v>19</v>
      </c>
      <c r="AQ64" s="342">
        <v>234</v>
      </c>
    </row>
    <row r="65" spans="1:43" x14ac:dyDescent="0.2">
      <c r="A65" s="37"/>
      <c r="B65" s="308"/>
      <c r="C65" s="404" t="s">
        <v>45</v>
      </c>
      <c r="D65" s="405" t="s">
        <v>213</v>
      </c>
      <c r="E65" s="406">
        <v>9</v>
      </c>
      <c r="F65" s="406">
        <v>52</v>
      </c>
      <c r="G65" s="407">
        <v>0.82692307692307687</v>
      </c>
      <c r="H65" s="37"/>
      <c r="I65" s="404" t="s">
        <v>45</v>
      </c>
      <c r="J65" s="405" t="s">
        <v>213</v>
      </c>
      <c r="K65" s="416">
        <v>12</v>
      </c>
      <c r="L65" s="416">
        <v>280</v>
      </c>
      <c r="M65" s="417">
        <v>0.95714285714285718</v>
      </c>
      <c r="N65" s="306"/>
      <c r="O65" s="37"/>
      <c r="P65" s="308"/>
      <c r="Q65" s="404" t="s">
        <v>45</v>
      </c>
      <c r="R65" s="405" t="s">
        <v>213</v>
      </c>
      <c r="S65" s="416">
        <v>29</v>
      </c>
      <c r="T65" s="416">
        <v>238</v>
      </c>
      <c r="U65" s="417">
        <v>0.87815126050420167</v>
      </c>
      <c r="V65" s="37"/>
      <c r="W65" s="404" t="s">
        <v>45</v>
      </c>
      <c r="X65" s="405" t="s">
        <v>213</v>
      </c>
      <c r="Y65" s="416">
        <v>19</v>
      </c>
      <c r="Z65" s="416">
        <v>220</v>
      </c>
      <c r="AA65" s="417">
        <v>0.91363636363636358</v>
      </c>
      <c r="AB65" s="306"/>
      <c r="AC65" s="37"/>
      <c r="AD65" s="341" t="s">
        <v>80</v>
      </c>
      <c r="AE65" s="274" t="s">
        <v>193</v>
      </c>
      <c r="AF65" s="374">
        <v>1</v>
      </c>
      <c r="AG65" s="275">
        <v>0</v>
      </c>
      <c r="AH65" s="375">
        <v>182</v>
      </c>
      <c r="AI65" s="361">
        <v>1</v>
      </c>
      <c r="AJ65" s="275">
        <v>0</v>
      </c>
      <c r="AK65" s="388">
        <v>42</v>
      </c>
      <c r="AL65" s="374">
        <v>0.96086956521739131</v>
      </c>
      <c r="AM65" s="275">
        <v>9</v>
      </c>
      <c r="AN65" s="375">
        <v>230</v>
      </c>
      <c r="AO65" s="361">
        <v>0.96803652968036524</v>
      </c>
      <c r="AP65" s="275">
        <v>7</v>
      </c>
      <c r="AQ65" s="342">
        <v>219</v>
      </c>
    </row>
    <row r="66" spans="1:43" ht="13.5" thickBot="1" x14ac:dyDescent="0.25">
      <c r="A66" s="37"/>
      <c r="B66" s="308"/>
      <c r="C66" s="408" t="s">
        <v>214</v>
      </c>
      <c r="D66" s="409"/>
      <c r="E66" s="410">
        <v>262</v>
      </c>
      <c r="F66" s="410">
        <v>2771</v>
      </c>
      <c r="G66" s="411">
        <v>0.90544929628293036</v>
      </c>
      <c r="H66" s="37"/>
      <c r="I66" s="408" t="s">
        <v>214</v>
      </c>
      <c r="J66" s="409"/>
      <c r="K66" s="420">
        <v>527</v>
      </c>
      <c r="L66" s="420">
        <v>13332</v>
      </c>
      <c r="M66" s="421">
        <v>0.96047104710471043</v>
      </c>
      <c r="N66" s="307"/>
      <c r="O66" s="37"/>
      <c r="P66" s="308"/>
      <c r="Q66" s="408" t="s">
        <v>214</v>
      </c>
      <c r="R66" s="409"/>
      <c r="S66" s="420">
        <v>1227</v>
      </c>
      <c r="T66" s="420">
        <v>13596</v>
      </c>
      <c r="U66" s="421">
        <v>0.90975286849073256</v>
      </c>
      <c r="V66" s="37"/>
      <c r="W66" s="408" t="s">
        <v>214</v>
      </c>
      <c r="X66" s="409"/>
      <c r="Y66" s="420">
        <v>1109</v>
      </c>
      <c r="Z66" s="420">
        <v>13444</v>
      </c>
      <c r="AA66" s="421">
        <v>0.91750966974114845</v>
      </c>
      <c r="AB66" s="307"/>
      <c r="AC66" s="37"/>
      <c r="AD66" s="341" t="s">
        <v>82</v>
      </c>
      <c r="AE66" s="274" t="s">
        <v>197</v>
      </c>
      <c r="AF66" s="374">
        <v>0.97487437185929648</v>
      </c>
      <c r="AG66" s="275">
        <v>5</v>
      </c>
      <c r="AH66" s="375">
        <v>199</v>
      </c>
      <c r="AI66" s="361">
        <v>0.93181818181818188</v>
      </c>
      <c r="AJ66" s="275">
        <v>3</v>
      </c>
      <c r="AK66" s="388">
        <v>44</v>
      </c>
      <c r="AL66" s="374">
        <v>0.91914893617021276</v>
      </c>
      <c r="AM66" s="275">
        <v>19</v>
      </c>
      <c r="AN66" s="375">
        <v>235</v>
      </c>
      <c r="AO66" s="361">
        <v>0.9126637554585153</v>
      </c>
      <c r="AP66" s="275">
        <v>20</v>
      </c>
      <c r="AQ66" s="342">
        <v>229</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0.97027972027972031</v>
      </c>
      <c r="AG67" s="275">
        <v>17</v>
      </c>
      <c r="AH67" s="375">
        <v>572</v>
      </c>
      <c r="AI67" s="361">
        <v>0.85714285714285721</v>
      </c>
      <c r="AJ67" s="275">
        <v>7</v>
      </c>
      <c r="AK67" s="388">
        <v>49</v>
      </c>
      <c r="AL67" s="374">
        <v>0.86974789915966388</v>
      </c>
      <c r="AM67" s="275">
        <v>31</v>
      </c>
      <c r="AN67" s="375">
        <v>238</v>
      </c>
      <c r="AO67" s="361">
        <v>0.92888888888888888</v>
      </c>
      <c r="AP67" s="275">
        <v>16</v>
      </c>
      <c r="AQ67" s="342">
        <v>225</v>
      </c>
    </row>
    <row r="68" spans="1:43" x14ac:dyDescent="0.2">
      <c r="A68" s="37"/>
      <c r="AD68" s="347" t="s">
        <v>248</v>
      </c>
      <c r="AE68" s="274" t="s">
        <v>202</v>
      </c>
      <c r="AF68" s="374">
        <v>0.94398340248962653</v>
      </c>
      <c r="AG68" s="279">
        <v>27</v>
      </c>
      <c r="AH68" s="379">
        <v>482</v>
      </c>
      <c r="AI68" s="361">
        <v>0.83636363636363642</v>
      </c>
      <c r="AJ68" s="279">
        <v>9</v>
      </c>
      <c r="AK68" s="278">
        <v>55</v>
      </c>
      <c r="AL68" s="374">
        <v>0.84146341463414631</v>
      </c>
      <c r="AM68" s="279">
        <v>39</v>
      </c>
      <c r="AN68" s="379">
        <v>246</v>
      </c>
      <c r="AO68" s="361">
        <v>0.89777777777777779</v>
      </c>
      <c r="AP68" s="279">
        <v>23</v>
      </c>
      <c r="AQ68" s="348">
        <v>225</v>
      </c>
    </row>
    <row r="69" spans="1:43" ht="13.5" thickBot="1" x14ac:dyDescent="0.25">
      <c r="A69" s="37"/>
      <c r="B69" s="619" t="s">
        <v>457</v>
      </c>
      <c r="C69" s="619"/>
      <c r="D69" s="619"/>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D69" s="344" t="s">
        <v>87</v>
      </c>
      <c r="AE69" s="271" t="s">
        <v>191</v>
      </c>
      <c r="AF69" s="374">
        <v>0.94615384615384612</v>
      </c>
      <c r="AG69" s="280">
        <v>28</v>
      </c>
      <c r="AH69" s="380">
        <v>520</v>
      </c>
      <c r="AI69" s="361">
        <v>0.875</v>
      </c>
      <c r="AJ69" s="280">
        <v>8</v>
      </c>
      <c r="AK69" s="391">
        <v>64</v>
      </c>
      <c r="AL69" s="374">
        <v>0.88028169014084512</v>
      </c>
      <c r="AM69" s="280">
        <v>34</v>
      </c>
      <c r="AN69" s="380">
        <v>284</v>
      </c>
      <c r="AO69" s="361">
        <v>0.95890410958904115</v>
      </c>
      <c r="AP69" s="280">
        <v>9</v>
      </c>
      <c r="AQ69" s="349">
        <v>219</v>
      </c>
    </row>
    <row r="70" spans="1:43" ht="13.5" customHeight="1" thickBot="1" x14ac:dyDescent="0.25">
      <c r="A70" s="36"/>
      <c r="B70" s="619"/>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D70" s="350" t="s">
        <v>267</v>
      </c>
      <c r="AE70" s="272">
        <v>1</v>
      </c>
      <c r="AF70" s="372"/>
      <c r="AG70" s="273"/>
      <c r="AH70" s="373"/>
      <c r="AI70" s="363">
        <v>0.94169999999999998</v>
      </c>
      <c r="AJ70" s="273">
        <v>7</v>
      </c>
      <c r="AK70" s="387">
        <v>120</v>
      </c>
      <c r="AL70" s="394">
        <v>0.98829999999999996</v>
      </c>
      <c r="AM70" s="273">
        <v>8</v>
      </c>
      <c r="AN70" s="373">
        <v>685</v>
      </c>
      <c r="AO70" s="363">
        <v>0.99409999999999998</v>
      </c>
      <c r="AP70" s="273">
        <v>4</v>
      </c>
      <c r="AQ70" s="340">
        <v>678</v>
      </c>
    </row>
    <row r="71" spans="1:43" s="17" customFormat="1" ht="20.25" x14ac:dyDescent="0.2">
      <c r="A71" s="5"/>
      <c r="B71" s="300"/>
      <c r="C71" s="620" t="s">
        <v>458</v>
      </c>
      <c r="D71" s="620"/>
      <c r="E71" s="620"/>
      <c r="F71" s="597" t="s">
        <v>440</v>
      </c>
      <c r="G71" s="597"/>
      <c r="H71" s="597"/>
      <c r="I71" s="597"/>
      <c r="J71" s="597"/>
      <c r="K71" s="597"/>
      <c r="L71" s="597"/>
      <c r="M71" s="597"/>
      <c r="N71" s="310"/>
      <c r="P71" s="300"/>
      <c r="Q71" s="620" t="s">
        <v>458</v>
      </c>
      <c r="R71" s="620"/>
      <c r="S71" s="620"/>
      <c r="T71" s="597" t="s">
        <v>441</v>
      </c>
      <c r="U71" s="597"/>
      <c r="V71" s="597"/>
      <c r="W71" s="597"/>
      <c r="X71" s="597"/>
      <c r="Y71" s="597"/>
      <c r="Z71" s="597"/>
      <c r="AA71" s="597"/>
      <c r="AB71" s="310"/>
      <c r="AC71" s="298"/>
      <c r="AD71" s="351" t="s">
        <v>251</v>
      </c>
      <c r="AE71" s="47">
        <v>110</v>
      </c>
      <c r="AF71" s="381"/>
      <c r="AG71" s="281"/>
      <c r="AH71" s="382"/>
      <c r="AI71" s="364">
        <v>0.94869999999999999</v>
      </c>
      <c r="AJ71" s="297">
        <v>2</v>
      </c>
      <c r="AK71" s="392">
        <v>39</v>
      </c>
      <c r="AL71" s="395">
        <v>0.99129999999999996</v>
      </c>
      <c r="AM71" s="297">
        <v>2</v>
      </c>
      <c r="AN71" s="396">
        <v>229</v>
      </c>
      <c r="AO71" s="364">
        <v>1</v>
      </c>
      <c r="AP71" s="297">
        <v>0</v>
      </c>
      <c r="AQ71" s="352">
        <v>228</v>
      </c>
    </row>
    <row r="72" spans="1:43" ht="13.5" customHeight="1" x14ac:dyDescent="0.2">
      <c r="B72" s="301"/>
      <c r="C72" s="607" t="s">
        <v>459</v>
      </c>
      <c r="D72" s="608"/>
      <c r="E72" s="603" t="s">
        <v>442</v>
      </c>
      <c r="F72" s="603"/>
      <c r="G72" s="603"/>
      <c r="H72" s="331"/>
      <c r="I72" s="326"/>
      <c r="J72" s="326"/>
      <c r="K72" s="616"/>
      <c r="L72" s="616"/>
      <c r="M72" s="617"/>
      <c r="N72" s="312"/>
      <c r="O72" s="17"/>
      <c r="P72" s="301"/>
      <c r="Q72" s="607" t="s">
        <v>459</v>
      </c>
      <c r="R72" s="608"/>
      <c r="S72" s="605" t="s">
        <v>462</v>
      </c>
      <c r="T72" s="605"/>
      <c r="U72" s="605"/>
      <c r="V72" s="331"/>
      <c r="W72" s="319"/>
      <c r="X72" s="319"/>
      <c r="Y72" s="605" t="s">
        <v>443</v>
      </c>
      <c r="Z72" s="605"/>
      <c r="AA72" s="613"/>
      <c r="AB72" s="312"/>
      <c r="AC72" s="298"/>
      <c r="AD72" s="351" t="s">
        <v>243</v>
      </c>
      <c r="AE72" s="274">
        <v>111</v>
      </c>
      <c r="AF72" s="381"/>
      <c r="AG72" s="281"/>
      <c r="AH72" s="382"/>
      <c r="AI72" s="364">
        <v>0.90239999999999998</v>
      </c>
      <c r="AJ72" s="297">
        <v>4</v>
      </c>
      <c r="AK72" s="392">
        <v>41</v>
      </c>
      <c r="AL72" s="395">
        <v>0.98250000000000004</v>
      </c>
      <c r="AM72" s="297">
        <v>4</v>
      </c>
      <c r="AN72" s="396">
        <v>229</v>
      </c>
      <c r="AO72" s="364">
        <v>0.99560000000000004</v>
      </c>
      <c r="AP72" s="297">
        <v>1</v>
      </c>
      <c r="AQ72" s="352">
        <v>227</v>
      </c>
    </row>
    <row r="73" spans="1:43" ht="12.75" customHeight="1" thickBot="1" x14ac:dyDescent="0.25">
      <c r="B73" s="301"/>
      <c r="C73" s="609"/>
      <c r="D73" s="610"/>
      <c r="E73" s="604"/>
      <c r="F73" s="604"/>
      <c r="G73" s="604"/>
      <c r="H73" s="309"/>
      <c r="I73" s="328"/>
      <c r="J73" s="328"/>
      <c r="K73" s="621"/>
      <c r="L73" s="621"/>
      <c r="M73" s="622"/>
      <c r="N73" s="312"/>
      <c r="P73" s="301"/>
      <c r="Q73" s="609"/>
      <c r="R73" s="610"/>
      <c r="S73" s="606"/>
      <c r="T73" s="606"/>
      <c r="U73" s="606"/>
      <c r="V73" s="332"/>
      <c r="W73" s="321"/>
      <c r="X73" s="321"/>
      <c r="Y73" s="606"/>
      <c r="Z73" s="606"/>
      <c r="AA73" s="614"/>
      <c r="AB73" s="312"/>
      <c r="AC73" s="298"/>
      <c r="AD73" s="353" t="s">
        <v>245</v>
      </c>
      <c r="AE73" s="354">
        <v>112</v>
      </c>
      <c r="AF73" s="383"/>
      <c r="AG73" s="355"/>
      <c r="AH73" s="384"/>
      <c r="AI73" s="365">
        <v>0.97499999999999998</v>
      </c>
      <c r="AJ73" s="356">
        <v>1</v>
      </c>
      <c r="AK73" s="393">
        <v>40</v>
      </c>
      <c r="AL73" s="397">
        <v>0.99119999999999997</v>
      </c>
      <c r="AM73" s="356">
        <v>2</v>
      </c>
      <c r="AN73" s="398">
        <v>227</v>
      </c>
      <c r="AO73" s="365">
        <v>0.98650000000000004</v>
      </c>
      <c r="AP73" s="356">
        <v>3</v>
      </c>
      <c r="AQ73" s="357">
        <v>223</v>
      </c>
    </row>
    <row r="74" spans="1:43" ht="12.75" customHeight="1" thickTop="1" x14ac:dyDescent="0.2">
      <c r="B74" s="301"/>
      <c r="C74" s="611"/>
      <c r="D74" s="612"/>
      <c r="E74" s="435"/>
      <c r="F74" s="435"/>
      <c r="G74" s="435"/>
      <c r="H74" s="332"/>
      <c r="I74" s="327"/>
      <c r="J74" s="327"/>
      <c r="K74" s="436"/>
      <c r="L74" s="436"/>
      <c r="M74" s="437"/>
      <c r="N74" s="312"/>
      <c r="P74" s="301"/>
      <c r="Q74" s="611"/>
      <c r="R74" s="612"/>
      <c r="S74" s="615" t="s">
        <v>444</v>
      </c>
      <c r="T74" s="615"/>
      <c r="U74" s="615"/>
      <c r="V74" s="309"/>
      <c r="W74" s="37"/>
      <c r="X74" s="37"/>
      <c r="Y74" s="593" t="s">
        <v>444</v>
      </c>
      <c r="Z74" s="593"/>
      <c r="AA74" s="594"/>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86" t="s">
        <v>460</v>
      </c>
      <c r="D75" s="587"/>
      <c r="E75" s="569" t="s">
        <v>221</v>
      </c>
      <c r="F75" s="569"/>
      <c r="G75" s="569"/>
      <c r="H75" s="319"/>
      <c r="I75" s="326"/>
      <c r="J75" s="326"/>
      <c r="K75" s="599"/>
      <c r="L75" s="599"/>
      <c r="M75" s="600"/>
      <c r="N75" s="304"/>
      <c r="P75" s="301"/>
      <c r="Q75" s="586" t="s">
        <v>460</v>
      </c>
      <c r="R75" s="587"/>
      <c r="S75" s="569" t="s">
        <v>219</v>
      </c>
      <c r="T75" s="569"/>
      <c r="U75" s="569"/>
      <c r="V75" s="319"/>
      <c r="W75" s="319"/>
      <c r="X75" s="319"/>
      <c r="Y75" s="569" t="s">
        <v>218</v>
      </c>
      <c r="Z75" s="569"/>
      <c r="AA75" s="571"/>
      <c r="AB75" s="304"/>
      <c r="AC75" s="298"/>
    </row>
    <row r="76" spans="1:43" ht="13.5" customHeight="1" x14ac:dyDescent="0.2">
      <c r="B76" s="301"/>
      <c r="C76" s="588"/>
      <c r="D76" s="589"/>
      <c r="E76" s="570"/>
      <c r="F76" s="570"/>
      <c r="G76" s="570"/>
      <c r="H76" s="321"/>
      <c r="I76" s="327"/>
      <c r="J76" s="327"/>
      <c r="K76" s="601"/>
      <c r="L76" s="601"/>
      <c r="M76" s="602"/>
      <c r="N76" s="304"/>
      <c r="P76" s="301"/>
      <c r="Q76" s="588"/>
      <c r="R76" s="589"/>
      <c r="S76" s="570"/>
      <c r="T76" s="570"/>
      <c r="U76" s="570"/>
      <c r="V76" s="321"/>
      <c r="W76" s="321"/>
      <c r="X76" s="321"/>
      <c r="Y76" s="570"/>
      <c r="Z76" s="570"/>
      <c r="AA76" s="572"/>
      <c r="AB76" s="304"/>
      <c r="AC76" s="298"/>
    </row>
    <row r="77" spans="1:43" ht="13.5" thickBot="1" x14ac:dyDescent="0.25">
      <c r="B77" s="301"/>
      <c r="C77" s="584" t="s">
        <v>461</v>
      </c>
      <c r="D77" s="584"/>
      <c r="E77" s="584"/>
      <c r="F77" s="584"/>
      <c r="G77" s="584"/>
      <c r="H77" s="37"/>
      <c r="I77" s="328"/>
      <c r="J77" s="328"/>
      <c r="K77" s="328"/>
      <c r="L77" s="328"/>
      <c r="M77" s="328"/>
      <c r="N77" s="304"/>
      <c r="P77" s="301"/>
      <c r="Q77" s="584" t="s">
        <v>461</v>
      </c>
      <c r="R77" s="584"/>
      <c r="S77" s="584"/>
      <c r="T77" s="584"/>
      <c r="U77" s="584"/>
      <c r="V77" s="37"/>
      <c r="W77" s="584" t="s">
        <v>461</v>
      </c>
      <c r="X77" s="584"/>
      <c r="Y77" s="584"/>
      <c r="Z77" s="584"/>
      <c r="AA77" s="584"/>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2</v>
      </c>
      <c r="F79" s="426">
        <v>39</v>
      </c>
      <c r="G79" s="427">
        <v>0.94869999999999999</v>
      </c>
      <c r="H79" s="36"/>
      <c r="I79" s="328"/>
      <c r="J79" s="328"/>
      <c r="K79" s="328"/>
      <c r="L79" s="328"/>
      <c r="M79" s="328"/>
      <c r="N79" s="302"/>
      <c r="P79" s="301"/>
      <c r="Q79" s="425" t="s">
        <v>90</v>
      </c>
      <c r="R79" s="426">
        <v>110</v>
      </c>
      <c r="S79" s="426">
        <v>2</v>
      </c>
      <c r="T79" s="426">
        <v>229</v>
      </c>
      <c r="U79" s="427">
        <v>0.99129999999999996</v>
      </c>
      <c r="V79" s="36"/>
      <c r="W79" s="425" t="s">
        <v>90</v>
      </c>
      <c r="X79" s="426">
        <v>110</v>
      </c>
      <c r="Y79" s="426">
        <v>0</v>
      </c>
      <c r="Z79" s="426">
        <v>228</v>
      </c>
      <c r="AA79" s="427">
        <v>1</v>
      </c>
      <c r="AB79" s="304"/>
      <c r="AC79" s="298"/>
    </row>
    <row r="80" spans="1:43" x14ac:dyDescent="0.2">
      <c r="B80" s="301"/>
      <c r="C80" s="425" t="s">
        <v>70</v>
      </c>
      <c r="D80" s="426">
        <v>111</v>
      </c>
      <c r="E80" s="426">
        <v>4</v>
      </c>
      <c r="F80" s="426">
        <v>41</v>
      </c>
      <c r="G80" s="427">
        <v>0.90239999999999998</v>
      </c>
      <c r="H80" s="36"/>
      <c r="I80" s="328"/>
      <c r="J80" s="328"/>
      <c r="K80" s="328"/>
      <c r="L80" s="328"/>
      <c r="M80" s="328"/>
      <c r="N80" s="302"/>
      <c r="P80" s="301"/>
      <c r="Q80" s="425" t="s">
        <v>70</v>
      </c>
      <c r="R80" s="426">
        <v>111</v>
      </c>
      <c r="S80" s="426">
        <v>4</v>
      </c>
      <c r="T80" s="426">
        <v>229</v>
      </c>
      <c r="U80" s="427">
        <v>0.98250000000000004</v>
      </c>
      <c r="V80" s="36"/>
      <c r="W80" s="425" t="s">
        <v>70</v>
      </c>
      <c r="X80" s="426">
        <v>111</v>
      </c>
      <c r="Y80" s="426">
        <v>1</v>
      </c>
      <c r="Z80" s="426">
        <v>227</v>
      </c>
      <c r="AA80" s="427">
        <v>0.99560000000000004</v>
      </c>
      <c r="AB80" s="304"/>
      <c r="AC80" s="298"/>
    </row>
    <row r="81" spans="2:29" x14ac:dyDescent="0.2">
      <c r="B81" s="301"/>
      <c r="C81" s="425" t="s">
        <v>77</v>
      </c>
      <c r="D81" s="426">
        <v>112</v>
      </c>
      <c r="E81" s="426">
        <v>1</v>
      </c>
      <c r="F81" s="426">
        <v>40</v>
      </c>
      <c r="G81" s="427">
        <v>0.97499999999999998</v>
      </c>
      <c r="H81" s="36"/>
      <c r="I81" s="328"/>
      <c r="J81" s="328"/>
      <c r="K81" s="328"/>
      <c r="L81" s="328"/>
      <c r="M81" s="328"/>
      <c r="N81" s="302"/>
      <c r="P81" s="301"/>
      <c r="Q81" s="425" t="s">
        <v>77</v>
      </c>
      <c r="R81" s="426">
        <v>112</v>
      </c>
      <c r="S81" s="426">
        <v>2</v>
      </c>
      <c r="T81" s="426">
        <v>227</v>
      </c>
      <c r="U81" s="427">
        <v>0.99119999999999997</v>
      </c>
      <c r="V81" s="36"/>
      <c r="W81" s="425" t="s">
        <v>77</v>
      </c>
      <c r="X81" s="426">
        <v>112</v>
      </c>
      <c r="Y81" s="426">
        <v>3</v>
      </c>
      <c r="Z81" s="426">
        <v>223</v>
      </c>
      <c r="AA81" s="427">
        <v>0.98650000000000004</v>
      </c>
      <c r="AB81" s="304"/>
      <c r="AC81" s="298"/>
    </row>
    <row r="82" spans="2:29" ht="13.5" thickBot="1" x14ac:dyDescent="0.25">
      <c r="B82" s="301"/>
      <c r="C82" s="428" t="s">
        <v>214</v>
      </c>
      <c r="D82" s="429">
        <v>1</v>
      </c>
      <c r="E82" s="429">
        <v>7</v>
      </c>
      <c r="F82" s="429">
        <v>120</v>
      </c>
      <c r="G82" s="430">
        <v>0.94169999999999998</v>
      </c>
      <c r="H82" s="36"/>
      <c r="I82" s="328"/>
      <c r="J82" s="328"/>
      <c r="K82" s="328"/>
      <c r="L82" s="328"/>
      <c r="M82" s="328"/>
      <c r="N82" s="302"/>
      <c r="P82" s="301"/>
      <c r="Q82" s="428" t="s">
        <v>214</v>
      </c>
      <c r="R82" s="429">
        <v>1</v>
      </c>
      <c r="S82" s="429">
        <v>8</v>
      </c>
      <c r="T82" s="429">
        <v>685</v>
      </c>
      <c r="U82" s="430">
        <v>0.98829999999999996</v>
      </c>
      <c r="V82" s="36"/>
      <c r="W82" s="428" t="s">
        <v>214</v>
      </c>
      <c r="X82" s="429">
        <v>1</v>
      </c>
      <c r="Y82" s="429">
        <v>4</v>
      </c>
      <c r="Z82" s="429">
        <v>678</v>
      </c>
      <c r="AA82" s="430">
        <v>0.99409999999999998</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618" t="s">
        <v>470</v>
      </c>
      <c r="D85" s="618"/>
      <c r="E85" s="618"/>
      <c r="F85" s="618"/>
      <c r="G85" s="618"/>
      <c r="Q85" s="618" t="s">
        <v>470</v>
      </c>
      <c r="R85" s="618"/>
      <c r="S85" s="618"/>
      <c r="T85" s="618"/>
      <c r="U85" s="618"/>
      <c r="V85" s="298"/>
      <c r="W85" s="618" t="s">
        <v>470</v>
      </c>
      <c r="X85" s="618"/>
      <c r="Y85" s="618"/>
      <c r="Z85" s="618"/>
      <c r="AA85" s="618"/>
      <c r="AB85" s="298"/>
      <c r="AC85" s="298"/>
    </row>
    <row r="86" spans="2:29" x14ac:dyDescent="0.2">
      <c r="C86" s="618"/>
      <c r="D86" s="618"/>
      <c r="E86" s="618"/>
      <c r="F86" s="618"/>
      <c r="G86" s="618"/>
      <c r="Q86" s="618"/>
      <c r="R86" s="618"/>
      <c r="S86" s="618"/>
      <c r="T86" s="618"/>
      <c r="U86" s="618"/>
      <c r="V86" s="298"/>
      <c r="W86" s="618"/>
      <c r="X86" s="618"/>
      <c r="Y86" s="618"/>
      <c r="Z86" s="618"/>
      <c r="AA86" s="618"/>
      <c r="AB86" s="298"/>
      <c r="AC86" s="298"/>
    </row>
    <row r="87" spans="2:29" x14ac:dyDescent="0.2">
      <c r="C87" s="618"/>
      <c r="D87" s="618"/>
      <c r="E87" s="618"/>
      <c r="F87" s="618"/>
      <c r="G87" s="618"/>
      <c r="Q87" s="618"/>
      <c r="R87" s="618"/>
      <c r="S87" s="618"/>
      <c r="T87" s="618"/>
      <c r="U87" s="618"/>
      <c r="V87" s="298"/>
      <c r="W87" s="618"/>
      <c r="X87" s="618"/>
      <c r="Y87" s="618"/>
      <c r="Z87" s="618"/>
      <c r="AA87" s="618"/>
      <c r="AB87" s="298"/>
    </row>
    <row r="88" spans="2:29" x14ac:dyDescent="0.2">
      <c r="C88" s="618"/>
      <c r="D88" s="618"/>
      <c r="E88" s="618"/>
      <c r="F88" s="618"/>
      <c r="G88" s="618"/>
      <c r="Q88" s="618"/>
      <c r="R88" s="618"/>
      <c r="S88" s="618"/>
      <c r="T88" s="618"/>
      <c r="U88" s="618"/>
      <c r="W88" s="618"/>
      <c r="X88" s="618"/>
      <c r="Y88" s="618"/>
      <c r="Z88" s="618"/>
      <c r="AA88" s="618"/>
    </row>
    <row r="89" spans="2:29" x14ac:dyDescent="0.2">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450391</CP_Inventory>
    <Fiscal_Year xmlns="c9744be7-b815-40bc-84fa-afc9c406d9bc">2015</Fiscal_Year>
    <CP_Backlog xmlns="c9744be7-b815-40bc-84fa-afc9c406d9bc">177037</CP_Backlog>
    <Creation_date xmlns="c9744be7-b815-40bc-84fa-afc9c406d9bc">2015-04-20T00:00:00</Creation_date>
    <Data_date xmlns="c9744be7-b815-40bc-84fa-afc9c406d9bc">2015-04-18T00:00:00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schemas.microsoft.com/office/2006/documentManagement/types"/>
    <ds:schemaRef ds:uri="http://schemas.openxmlformats.org/package/2006/metadata/core-properties"/>
    <ds:schemaRef ds:uri="fef9c9dc-374b-4157-9e06-089f148416e5"/>
    <ds:schemaRef ds:uri="http://purl.org/dc/terms/"/>
    <ds:schemaRef ds:uri="http://purl.org/dc/elements/1.1/"/>
    <ds:schemaRef ds:uri="http://www.w3.org/XML/1998/namespace"/>
    <ds:schemaRef ds:uri="c9744be7-b815-40bc-84fa-afc9c406d9bc"/>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2014-03-10T18:13:07Z</cp:lastPrinted>
  <dcterms:created xsi:type="dcterms:W3CDTF">2009-08-25T18:46:26Z</dcterms:created>
  <dcterms:modified xsi:type="dcterms:W3CDTF">2015-04-20T16:38:41Z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